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D4EF0C3C-9DB1-4853-AACA-482A162A408C}" xr6:coauthVersionLast="47" xr6:coauthVersionMax="47" xr10:uidLastSave="{00000000-0000-0000-0000-000000000000}"/>
  <bookViews>
    <workbookView xWindow="31830" yWindow="3375" windowWidth="14400" windowHeight="10695" xr2:uid="{00000000-000D-0000-FFFF-FFFF00000000}"/>
  </bookViews>
  <sheets>
    <sheet name="Aanmaningstarieven" sheetId="6" r:id="rId1"/>
    <sheet name="Berekening" sheetId="9" state="hidden" r:id="rId2"/>
    <sheet name="Inningsbijdr - detail" sheetId="2" state="hidden" r:id="rId3"/>
    <sheet name="List" sheetId="8" state="hidden" r:id="rId4"/>
    <sheet name="Andere tarieven" sheetId="10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0" l="1"/>
  <c r="N19" i="10"/>
  <c r="G19" i="10"/>
  <c r="F19" i="10"/>
  <c r="U14" i="10"/>
  <c r="T14" i="10"/>
  <c r="S14" i="10"/>
  <c r="R14" i="10"/>
  <c r="Q14" i="10"/>
  <c r="Q19" i="10" s="1"/>
  <c r="P14" i="10"/>
  <c r="P19" i="10" s="1"/>
  <c r="O14" i="10"/>
  <c r="N14" i="10"/>
  <c r="M14" i="10"/>
  <c r="L14" i="10"/>
  <c r="K14" i="10"/>
  <c r="J14" i="10"/>
  <c r="I14" i="10"/>
  <c r="I19" i="10" s="1"/>
  <c r="H14" i="10"/>
  <c r="H19" i="10" s="1"/>
  <c r="G14" i="10"/>
  <c r="F14" i="10"/>
  <c r="E14" i="10"/>
  <c r="D14" i="10"/>
  <c r="U9" i="10"/>
  <c r="T9" i="10"/>
  <c r="S9" i="10"/>
  <c r="S19" i="10" s="1"/>
  <c r="R9" i="10"/>
  <c r="R19" i="10" s="1"/>
  <c r="Q9" i="10"/>
  <c r="P9" i="10"/>
  <c r="O9" i="10"/>
  <c r="N9" i="10"/>
  <c r="M9" i="10"/>
  <c r="L9" i="10"/>
  <c r="K9" i="10"/>
  <c r="K19" i="10" s="1"/>
  <c r="J9" i="10"/>
  <c r="J19" i="10" s="1"/>
  <c r="I9" i="10"/>
  <c r="H9" i="10"/>
  <c r="G9" i="10"/>
  <c r="F9" i="10"/>
  <c r="E9" i="10"/>
  <c r="D9" i="10"/>
  <c r="U4" i="10"/>
  <c r="U19" i="10" s="1"/>
  <c r="T4" i="10"/>
  <c r="T19" i="10" s="1"/>
  <c r="S4" i="10"/>
  <c r="R4" i="10"/>
  <c r="Q4" i="10"/>
  <c r="P4" i="10"/>
  <c r="O4" i="10"/>
  <c r="N4" i="10"/>
  <c r="M4" i="10"/>
  <c r="M19" i="10" s="1"/>
  <c r="L4" i="10"/>
  <c r="L19" i="10" s="1"/>
  <c r="K4" i="10"/>
  <c r="J4" i="10"/>
  <c r="I4" i="10"/>
  <c r="H4" i="10"/>
  <c r="G4" i="10"/>
  <c r="F4" i="10"/>
  <c r="E4" i="10"/>
  <c r="E19" i="10" s="1"/>
  <c r="D4" i="10"/>
  <c r="D19" i="10" s="1"/>
  <c r="J21" i="10" l="1"/>
  <c r="J23" i="10" s="1"/>
  <c r="J30" i="10"/>
  <c r="J25" i="10"/>
  <c r="N30" i="10"/>
  <c r="U30" i="10"/>
  <c r="U25" i="10"/>
  <c r="U21" i="10"/>
  <c r="U23" i="10" s="1"/>
  <c r="I21" i="10"/>
  <c r="I23" i="10" s="1"/>
  <c r="I30" i="10" s="1"/>
  <c r="D21" i="10"/>
  <c r="D23" i="10" s="1"/>
  <c r="D30" i="10"/>
  <c r="D25" i="10"/>
  <c r="T21" i="10"/>
  <c r="T23" i="10" s="1"/>
  <c r="T30" i="10" s="1"/>
  <c r="R21" i="10"/>
  <c r="R23" i="10" s="1"/>
  <c r="R30" i="10"/>
  <c r="R25" i="10"/>
  <c r="P21" i="10"/>
  <c r="P23" i="10" s="1"/>
  <c r="P25" i="10" s="1"/>
  <c r="M30" i="10"/>
  <c r="M25" i="10"/>
  <c r="M21" i="10"/>
  <c r="M23" i="10" s="1"/>
  <c r="Q21" i="10"/>
  <c r="Q23" i="10" s="1"/>
  <c r="Q30" i="10" s="1"/>
  <c r="Q25" i="10"/>
  <c r="S21" i="10"/>
  <c r="S23" i="10" s="1"/>
  <c r="S25" i="10" s="1"/>
  <c r="L21" i="10"/>
  <c r="L23" i="10" s="1"/>
  <c r="L30" i="10"/>
  <c r="L25" i="10"/>
  <c r="H21" i="10"/>
  <c r="H23" i="10" s="1"/>
  <c r="H25" i="10" s="1"/>
  <c r="E30" i="10"/>
  <c r="E25" i="10"/>
  <c r="E21" i="10"/>
  <c r="E23" i="10" s="1"/>
  <c r="K21" i="10"/>
  <c r="K23" i="10" s="1"/>
  <c r="K30" i="10" s="1"/>
  <c r="K25" i="10"/>
  <c r="O25" i="10"/>
  <c r="G30" i="10"/>
  <c r="F21" i="10"/>
  <c r="F23" i="10" s="1"/>
  <c r="F30" i="10" s="1"/>
  <c r="N21" i="10"/>
  <c r="N23" i="10" s="1"/>
  <c r="G21" i="10"/>
  <c r="G23" i="10" s="1"/>
  <c r="G25" i="10" s="1"/>
  <c r="O21" i="10"/>
  <c r="O23" i="10" s="1"/>
  <c r="O30" i="10" s="1"/>
  <c r="F25" i="10"/>
  <c r="N25" i="10"/>
  <c r="T25" i="10" l="1"/>
  <c r="H30" i="10"/>
  <c r="P30" i="10"/>
  <c r="I25" i="10"/>
  <c r="F74" i="6" l="1"/>
  <c r="F73" i="6"/>
  <c r="F38" i="6"/>
  <c r="F37" i="6"/>
  <c r="F32" i="6"/>
  <c r="F31" i="6"/>
  <c r="F28" i="6"/>
  <c r="F27" i="6"/>
  <c r="J39" i="9" l="1"/>
  <c r="J35" i="9"/>
  <c r="J31" i="9"/>
  <c r="J23" i="6"/>
  <c r="J71" i="6" s="1"/>
  <c r="J23" i="9"/>
  <c r="J22" i="9"/>
  <c r="I81" i="9"/>
  <c r="J81" i="9"/>
  <c r="K81" i="9"/>
  <c r="L81" i="9"/>
  <c r="M81" i="9"/>
  <c r="N81" i="9"/>
  <c r="I82" i="9"/>
  <c r="J82" i="9"/>
  <c r="K82" i="9"/>
  <c r="L82" i="9"/>
  <c r="M82" i="9"/>
  <c r="N82" i="9"/>
  <c r="H82" i="9"/>
  <c r="H81" i="9"/>
  <c r="F80" i="9"/>
  <c r="J63" i="9"/>
  <c r="J18" i="9"/>
  <c r="J19" i="9"/>
  <c r="J32" i="9"/>
  <c r="J36" i="9"/>
  <c r="J40" i="9"/>
  <c r="J43" i="9"/>
  <c r="J44" i="9"/>
  <c r="J47" i="9"/>
  <c r="J48" i="9"/>
  <c r="J51" i="9"/>
  <c r="J52" i="9"/>
  <c r="J55" i="9"/>
  <c r="J56" i="9"/>
  <c r="N71" i="6"/>
  <c r="M71" i="6"/>
  <c r="L71" i="6"/>
  <c r="F8" i="9"/>
  <c r="J97" i="9" s="1"/>
  <c r="H80" i="9" l="1"/>
  <c r="H83" i="9" s="1"/>
  <c r="F82" i="9"/>
  <c r="J80" i="9"/>
  <c r="J83" i="9" s="1"/>
  <c r="F81" i="9"/>
  <c r="K80" i="9"/>
  <c r="K83" i="9" s="1"/>
  <c r="I80" i="9"/>
  <c r="I83" i="9" s="1"/>
  <c r="N80" i="9"/>
  <c r="N83" i="9" s="1"/>
  <c r="L80" i="9"/>
  <c r="L83" i="9" s="1"/>
  <c r="M80" i="9"/>
  <c r="M83" i="9" s="1"/>
  <c r="N61" i="9"/>
  <c r="H61" i="9"/>
  <c r="I63" i="9"/>
  <c r="K63" i="9"/>
  <c r="H63" i="9"/>
  <c r="I31" i="9"/>
  <c r="K31" i="9"/>
  <c r="I32" i="9"/>
  <c r="K32" i="9"/>
  <c r="I35" i="9"/>
  <c r="K35" i="9"/>
  <c r="I36" i="9"/>
  <c r="K36" i="9"/>
  <c r="I39" i="9"/>
  <c r="K39" i="9"/>
  <c r="I40" i="9"/>
  <c r="K40" i="9"/>
  <c r="I43" i="9"/>
  <c r="K43" i="9"/>
  <c r="I44" i="9"/>
  <c r="K44" i="9"/>
  <c r="I47" i="9"/>
  <c r="K47" i="9"/>
  <c r="I48" i="9"/>
  <c r="K48" i="9"/>
  <c r="I51" i="9"/>
  <c r="K51" i="9"/>
  <c r="I52" i="9"/>
  <c r="K52" i="9"/>
  <c r="I55" i="9"/>
  <c r="K55" i="9"/>
  <c r="I56" i="9"/>
  <c r="K56" i="9"/>
  <c r="I23" i="9"/>
  <c r="K23" i="9"/>
  <c r="I22" i="9"/>
  <c r="K22" i="9"/>
  <c r="I19" i="9"/>
  <c r="K19" i="9"/>
  <c r="I18" i="9"/>
  <c r="K18" i="9"/>
  <c r="F5" i="9"/>
  <c r="K23" i="6"/>
  <c r="K71" i="6" s="1"/>
  <c r="I23" i="6"/>
  <c r="I71" i="6" s="1"/>
  <c r="H23" i="6"/>
  <c r="H71" i="6" s="1"/>
  <c r="F83" i="9" l="1"/>
  <c r="J84" i="9" s="1"/>
  <c r="H31" i="9"/>
  <c r="L62" i="9"/>
  <c r="M62" i="9"/>
  <c r="H62" i="9"/>
  <c r="D66" i="9"/>
  <c r="D65" i="9"/>
  <c r="D74" i="9"/>
  <c r="D73" i="9"/>
  <c r="C53" i="9"/>
  <c r="C49" i="9"/>
  <c r="F93" i="9"/>
  <c r="F92" i="9"/>
  <c r="F74" i="9"/>
  <c r="F16" i="6"/>
  <c r="F73" i="9" s="1"/>
  <c r="N56" i="9"/>
  <c r="M56" i="9"/>
  <c r="L56" i="9"/>
  <c r="H56" i="9"/>
  <c r="N55" i="9"/>
  <c r="M55" i="9"/>
  <c r="L55" i="9"/>
  <c r="H55" i="9"/>
  <c r="F54" i="9"/>
  <c r="N52" i="9"/>
  <c r="M52" i="9"/>
  <c r="L52" i="9"/>
  <c r="H52" i="9"/>
  <c r="N51" i="9"/>
  <c r="M51" i="9"/>
  <c r="L51" i="9"/>
  <c r="H51" i="9"/>
  <c r="F50" i="9"/>
  <c r="N48" i="9"/>
  <c r="M48" i="9"/>
  <c r="L48" i="9"/>
  <c r="H48" i="9"/>
  <c r="N47" i="9"/>
  <c r="M47" i="9"/>
  <c r="L47" i="9"/>
  <c r="H47" i="9"/>
  <c r="F46" i="9"/>
  <c r="N44" i="9"/>
  <c r="M44" i="9"/>
  <c r="L44" i="9"/>
  <c r="H44" i="9"/>
  <c r="N43" i="9"/>
  <c r="M43" i="9"/>
  <c r="L43" i="9"/>
  <c r="H43" i="9"/>
  <c r="F42" i="9"/>
  <c r="N40" i="9"/>
  <c r="M40" i="9"/>
  <c r="L40" i="9"/>
  <c r="H40" i="9"/>
  <c r="N39" i="9"/>
  <c r="M39" i="9"/>
  <c r="L39" i="9"/>
  <c r="H39" i="9"/>
  <c r="F38" i="9"/>
  <c r="N36" i="9"/>
  <c r="M36" i="9"/>
  <c r="L36" i="9"/>
  <c r="H36" i="9"/>
  <c r="N35" i="9"/>
  <c r="M35" i="9"/>
  <c r="L35" i="9"/>
  <c r="F34" i="9"/>
  <c r="N32" i="9"/>
  <c r="M32" i="9"/>
  <c r="L32" i="9"/>
  <c r="H32" i="9"/>
  <c r="N31" i="9"/>
  <c r="M31" i="9"/>
  <c r="L31" i="9"/>
  <c r="F30" i="9"/>
  <c r="N23" i="9"/>
  <c r="M23" i="9"/>
  <c r="L23" i="9"/>
  <c r="H23" i="9"/>
  <c r="N22" i="9"/>
  <c r="M22" i="9"/>
  <c r="L22" i="9"/>
  <c r="H22" i="9"/>
  <c r="F21" i="9"/>
  <c r="C20" i="9"/>
  <c r="N18" i="9"/>
  <c r="M18" i="9"/>
  <c r="L18" i="9"/>
  <c r="H18" i="9"/>
  <c r="N19" i="9"/>
  <c r="M19" i="9"/>
  <c r="L19" i="9"/>
  <c r="H19" i="9"/>
  <c r="F7" i="9"/>
  <c r="I97" i="9" s="1"/>
  <c r="F9" i="9"/>
  <c r="K97" i="9" s="1"/>
  <c r="F2" i="9"/>
  <c r="F6" i="9"/>
  <c r="H97" i="9" s="1"/>
  <c r="D93" i="9"/>
  <c r="D92" i="9"/>
  <c r="D79" i="6"/>
  <c r="D78" i="6"/>
  <c r="F62" i="6"/>
  <c r="F61" i="6"/>
  <c r="F58" i="6"/>
  <c r="F57" i="6"/>
  <c r="F46" i="6"/>
  <c r="F45" i="6"/>
  <c r="F50" i="6"/>
  <c r="F49" i="6"/>
  <c r="F42" i="6"/>
  <c r="F54" i="6"/>
  <c r="F53" i="6"/>
  <c r="L84" i="9" l="1"/>
  <c r="K84" i="9"/>
  <c r="M84" i="9"/>
  <c r="I84" i="9"/>
  <c r="H84" i="9"/>
  <c r="F84" i="9" s="1"/>
  <c r="N84" i="9"/>
  <c r="F22" i="9"/>
  <c r="I21" i="9"/>
  <c r="J21" i="9"/>
  <c r="I50" i="9"/>
  <c r="J50" i="9"/>
  <c r="K34" i="9"/>
  <c r="J34" i="9"/>
  <c r="K54" i="9"/>
  <c r="J54" i="9"/>
  <c r="K46" i="9"/>
  <c r="J46" i="9"/>
  <c r="K38" i="9"/>
  <c r="J38" i="9"/>
  <c r="I30" i="9"/>
  <c r="J30" i="9"/>
  <c r="K42" i="9"/>
  <c r="J42" i="9"/>
  <c r="I46" i="9"/>
  <c r="I34" i="9"/>
  <c r="K30" i="9"/>
  <c r="H30" i="9"/>
  <c r="L30" i="9"/>
  <c r="I38" i="9"/>
  <c r="K50" i="9"/>
  <c r="I42" i="9"/>
  <c r="I54" i="9"/>
  <c r="K21" i="9"/>
  <c r="F41" i="6"/>
  <c r="H35" i="9"/>
  <c r="H34" i="9" s="1"/>
  <c r="L46" i="9"/>
  <c r="L50" i="9"/>
  <c r="L34" i="9"/>
  <c r="M38" i="9"/>
  <c r="N38" i="9"/>
  <c r="L21" i="9"/>
  <c r="N30" i="9"/>
  <c r="N46" i="9"/>
  <c r="N42" i="9"/>
  <c r="N21" i="9"/>
  <c r="L38" i="9"/>
  <c r="M54" i="9"/>
  <c r="M50" i="9"/>
  <c r="N34" i="9"/>
  <c r="N54" i="9"/>
  <c r="H21" i="9"/>
  <c r="N50" i="9"/>
  <c r="M34" i="9"/>
  <c r="M21" i="9"/>
  <c r="F44" i="9"/>
  <c r="F47" i="9"/>
  <c r="F23" i="9"/>
  <c r="F56" i="9"/>
  <c r="F40" i="9"/>
  <c r="H54" i="9"/>
  <c r="M30" i="9"/>
  <c r="F36" i="9"/>
  <c r="H42" i="9"/>
  <c r="H50" i="9"/>
  <c r="M42" i="9"/>
  <c r="F32" i="9"/>
  <c r="H38" i="9"/>
  <c r="L42" i="9"/>
  <c r="F52" i="9"/>
  <c r="H46" i="9"/>
  <c r="M46" i="9"/>
  <c r="F48" i="9"/>
  <c r="F55" i="9"/>
  <c r="L54" i="9"/>
  <c r="F51" i="9"/>
  <c r="F43" i="9"/>
  <c r="F39" i="9"/>
  <c r="F31" i="9"/>
  <c r="F18" i="9"/>
  <c r="F19" i="9"/>
  <c r="F17" i="6"/>
  <c r="F15" i="6"/>
  <c r="F14" i="6"/>
  <c r="F13" i="6"/>
  <c r="F17" i="9" s="1"/>
  <c r="J17" i="9" s="1"/>
  <c r="D14" i="6"/>
  <c r="D15" i="6"/>
  <c r="D16" i="6"/>
  <c r="D17" i="6"/>
  <c r="D13" i="6"/>
  <c r="C12" i="6"/>
  <c r="H17" i="9" l="1"/>
  <c r="H25" i="9" s="1"/>
  <c r="H65" i="9" s="1"/>
  <c r="J25" i="9"/>
  <c r="J65" i="9" s="1"/>
  <c r="J58" i="9"/>
  <c r="J66" i="9" s="1"/>
  <c r="K58" i="9"/>
  <c r="K66" i="9" s="1"/>
  <c r="K17" i="9"/>
  <c r="K25" i="9" s="1"/>
  <c r="K65" i="9" s="1"/>
  <c r="K67" i="9" s="1"/>
  <c r="I17" i="9"/>
  <c r="I25" i="9" s="1"/>
  <c r="I65" i="9" s="1"/>
  <c r="I58" i="9"/>
  <c r="I66" i="9" s="1"/>
  <c r="N58" i="9"/>
  <c r="N66" i="9" s="1"/>
  <c r="F35" i="9"/>
  <c r="M17" i="9"/>
  <c r="M25" i="9" s="1"/>
  <c r="M65" i="9" s="1"/>
  <c r="N17" i="9"/>
  <c r="N25" i="9" s="1"/>
  <c r="N65" i="9" s="1"/>
  <c r="L17" i="9"/>
  <c r="L25" i="9" s="1"/>
  <c r="L65" i="9" s="1"/>
  <c r="L58" i="9"/>
  <c r="L66" i="9" s="1"/>
  <c r="H58" i="9"/>
  <c r="H66" i="9" s="1"/>
  <c r="M58" i="9"/>
  <c r="M66" i="9" s="1"/>
  <c r="F18" i="6"/>
  <c r="J67" i="9" l="1"/>
  <c r="I67" i="9"/>
  <c r="F66" i="9"/>
  <c r="H67" i="9"/>
  <c r="F65" i="9"/>
  <c r="M67" i="9"/>
  <c r="L67" i="9"/>
  <c r="F58" i="9"/>
  <c r="F25" i="9"/>
  <c r="N67" i="9" l="1"/>
  <c r="F67" i="9" l="1"/>
  <c r="J68" i="9" s="1"/>
  <c r="J74" i="9" s="1"/>
  <c r="L68" i="9" l="1"/>
  <c r="L73" i="9" s="1"/>
  <c r="H68" i="9"/>
  <c r="H73" i="9" s="1"/>
  <c r="N68" i="9"/>
  <c r="N74" i="9" s="1"/>
  <c r="M68" i="9"/>
  <c r="M73" i="9" s="1"/>
  <c r="K68" i="9"/>
  <c r="K73" i="9" s="1"/>
  <c r="I68" i="9"/>
  <c r="J73" i="9"/>
  <c r="J75" i="9" s="1"/>
  <c r="K74" i="9" l="1"/>
  <c r="H74" i="9"/>
  <c r="H75" i="9" s="1"/>
  <c r="H87" i="9" s="1"/>
  <c r="F68" i="9"/>
  <c r="L74" i="9"/>
  <c r="L75" i="9" s="1"/>
  <c r="L87" i="9" s="1"/>
  <c r="N73" i="9"/>
  <c r="N75" i="9" s="1"/>
  <c r="N87" i="9" s="1"/>
  <c r="I74" i="9"/>
  <c r="I73" i="9"/>
  <c r="I75" i="9" s="1"/>
  <c r="I87" i="9" s="1"/>
  <c r="M74" i="9"/>
  <c r="M75" i="9" s="1"/>
  <c r="M87" i="9" s="1"/>
  <c r="J87" i="9"/>
  <c r="K75" i="9"/>
  <c r="K87" i="9" s="1"/>
  <c r="J93" i="9" l="1"/>
  <c r="J92" i="9"/>
  <c r="H93" i="9"/>
  <c r="I93" i="9"/>
  <c r="H92" i="9"/>
  <c r="I92" i="9"/>
  <c r="K92" i="9"/>
  <c r="K93" i="9"/>
  <c r="F75" i="9"/>
  <c r="H76" i="9" s="1"/>
  <c r="J96" i="9" l="1"/>
  <c r="J98" i="9" s="1"/>
  <c r="J82" i="6" s="1"/>
  <c r="J85" i="6" s="1"/>
  <c r="K96" i="9"/>
  <c r="K98" i="9" s="1"/>
  <c r="K82" i="6" s="1"/>
  <c r="K85" i="6" s="1"/>
  <c r="H96" i="9"/>
  <c r="H98" i="9" s="1"/>
  <c r="H82" i="6" s="1"/>
  <c r="I96" i="9"/>
  <c r="I98" i="9" s="1"/>
  <c r="I82" i="6" s="1"/>
  <c r="I85" i="6" s="1"/>
  <c r="F87" i="9"/>
  <c r="M76" i="9"/>
  <c r="J76" i="9"/>
  <c r="I76" i="9"/>
  <c r="L76" i="9"/>
  <c r="K76" i="9"/>
  <c r="N76" i="9"/>
  <c r="C308" i="2"/>
  <c r="C284" i="2"/>
  <c r="C305" i="2"/>
  <c r="C258" i="2"/>
  <c r="C281" i="2"/>
  <c r="C279" i="2"/>
  <c r="C278" i="2"/>
  <c r="C277" i="2"/>
  <c r="C276" i="2"/>
  <c r="C275" i="2"/>
  <c r="C274" i="2"/>
  <c r="C272" i="2"/>
  <c r="C271" i="2"/>
  <c r="C270" i="2"/>
  <c r="C269" i="2"/>
  <c r="C268" i="2"/>
  <c r="C267" i="2"/>
  <c r="C266" i="2"/>
  <c r="C303" i="2"/>
  <c r="C302" i="2"/>
  <c r="C301" i="2"/>
  <c r="C300" i="2"/>
  <c r="C299" i="2"/>
  <c r="C298" i="2"/>
  <c r="C296" i="2"/>
  <c r="C295" i="2"/>
  <c r="C294" i="2"/>
  <c r="C293" i="2"/>
  <c r="C292" i="2"/>
  <c r="C291" i="2"/>
  <c r="C290" i="2"/>
  <c r="C289" i="2"/>
  <c r="F265" i="2"/>
  <c r="D250" i="2"/>
  <c r="F76" i="9" l="1"/>
  <c r="H274" i="2"/>
  <c r="H265" i="2"/>
  <c r="E274" i="2"/>
  <c r="E265" i="2"/>
  <c r="D284" i="2"/>
  <c r="D274" i="2"/>
  <c r="D265" i="2"/>
  <c r="D281" i="2" l="1"/>
  <c r="F274" i="2" l="1"/>
  <c r="F281" i="2" s="1"/>
  <c r="G274" i="2"/>
  <c r="I274" i="2"/>
  <c r="J274" i="2"/>
  <c r="K274" i="2"/>
  <c r="B270" i="2"/>
  <c r="G265" i="2"/>
  <c r="L284" i="2"/>
  <c r="K284" i="2"/>
  <c r="J284" i="2"/>
  <c r="I284" i="2"/>
  <c r="H284" i="2"/>
  <c r="G284" i="2"/>
  <c r="F284" i="2"/>
  <c r="E284" i="2"/>
  <c r="B279" i="2"/>
  <c r="B278" i="2"/>
  <c r="B277" i="2"/>
  <c r="B276" i="2"/>
  <c r="B275" i="2"/>
  <c r="B272" i="2"/>
  <c r="B271" i="2"/>
  <c r="B269" i="2"/>
  <c r="B266" i="2"/>
  <c r="K265" i="2"/>
  <c r="J265" i="2"/>
  <c r="I265" i="2"/>
  <c r="C256" i="2"/>
  <c r="L252" i="2"/>
  <c r="B243" i="2"/>
  <c r="D241" i="2"/>
  <c r="D258" i="2" s="1"/>
  <c r="B256" i="2"/>
  <c r="B255" i="2"/>
  <c r="B248" i="2"/>
  <c r="B247" i="2"/>
  <c r="B246" i="2"/>
  <c r="B245" i="2"/>
  <c r="B244" i="2"/>
  <c r="B242" i="2"/>
  <c r="G241" i="2"/>
  <c r="L261" i="2"/>
  <c r="K261" i="2"/>
  <c r="J261" i="2"/>
  <c r="I261" i="2"/>
  <c r="H261" i="2"/>
  <c r="G261" i="2"/>
  <c r="F261" i="2"/>
  <c r="E261" i="2"/>
  <c r="D261" i="2"/>
  <c r="B253" i="2"/>
  <c r="K250" i="2"/>
  <c r="J250" i="2"/>
  <c r="I250" i="2"/>
  <c r="H250" i="2"/>
  <c r="H258" i="2" s="1"/>
  <c r="G250" i="2"/>
  <c r="F250" i="2"/>
  <c r="F258" i="2" s="1"/>
  <c r="E250" i="2"/>
  <c r="K241" i="2"/>
  <c r="J241" i="2"/>
  <c r="I241" i="2"/>
  <c r="H241" i="2"/>
  <c r="F241" i="2"/>
  <c r="E241" i="2"/>
  <c r="I215" i="2"/>
  <c r="B221" i="2"/>
  <c r="D235" i="2"/>
  <c r="D215" i="2"/>
  <c r="L235" i="2"/>
  <c r="K235" i="2"/>
  <c r="J235" i="2"/>
  <c r="I235" i="2"/>
  <c r="H235" i="2"/>
  <c r="G235" i="2"/>
  <c r="F235" i="2"/>
  <c r="E235" i="2"/>
  <c r="B230" i="2"/>
  <c r="B227" i="2"/>
  <c r="K224" i="2"/>
  <c r="J224" i="2"/>
  <c r="I224" i="2"/>
  <c r="I232" i="2" s="1"/>
  <c r="H224" i="2"/>
  <c r="G224" i="2"/>
  <c r="F224" i="2"/>
  <c r="E224" i="2"/>
  <c r="D224" i="2"/>
  <c r="B223" i="2"/>
  <c r="B222" i="2"/>
  <c r="B219" i="2"/>
  <c r="B218" i="2"/>
  <c r="B216" i="2"/>
  <c r="K215" i="2"/>
  <c r="J215" i="2"/>
  <c r="H215" i="2"/>
  <c r="G215" i="2"/>
  <c r="G232" i="2" s="1"/>
  <c r="F215" i="2"/>
  <c r="E215" i="2"/>
  <c r="B205" i="2"/>
  <c r="B203" i="2"/>
  <c r="B195" i="2"/>
  <c r="B192" i="2"/>
  <c r="J211" i="2"/>
  <c r="J200" i="2"/>
  <c r="J196" i="2"/>
  <c r="J193" i="2"/>
  <c r="B199" i="2"/>
  <c r="B204" i="2"/>
  <c r="B206" i="2"/>
  <c r="G211" i="2"/>
  <c r="G200" i="2"/>
  <c r="G191" i="2"/>
  <c r="G208" i="2" s="1"/>
  <c r="H211" i="2"/>
  <c r="H200" i="2"/>
  <c r="H191" i="2"/>
  <c r="L198" i="2"/>
  <c r="B198" i="2" s="1"/>
  <c r="L197" i="2"/>
  <c r="L194" i="2"/>
  <c r="L193" i="2" s="1"/>
  <c r="F211" i="2"/>
  <c r="F200" i="2"/>
  <c r="F197" i="2"/>
  <c r="F196" i="2"/>
  <c r="F194" i="2"/>
  <c r="B194" i="2" s="1"/>
  <c r="D211" i="2"/>
  <c r="D200" i="2"/>
  <c r="D208" i="2" s="1"/>
  <c r="D191" i="2"/>
  <c r="E211" i="2"/>
  <c r="E200" i="2"/>
  <c r="E196" i="2"/>
  <c r="E193" i="2"/>
  <c r="E191" i="2" s="1"/>
  <c r="K200" i="2"/>
  <c r="K191" i="2"/>
  <c r="L211" i="2"/>
  <c r="K211" i="2"/>
  <c r="E186" i="2"/>
  <c r="F186" i="2"/>
  <c r="G186" i="2"/>
  <c r="H186" i="2"/>
  <c r="I186" i="2"/>
  <c r="J186" i="2"/>
  <c r="K186" i="2"/>
  <c r="L186" i="2"/>
  <c r="E161" i="2"/>
  <c r="F161" i="2"/>
  <c r="G161" i="2"/>
  <c r="H161" i="2"/>
  <c r="I161" i="2"/>
  <c r="J161" i="2"/>
  <c r="K161" i="2"/>
  <c r="L161" i="2"/>
  <c r="D161" i="2"/>
  <c r="D186" i="2"/>
  <c r="L166" i="2"/>
  <c r="L151" i="2"/>
  <c r="L150" i="2" s="1"/>
  <c r="L147" i="2"/>
  <c r="L146" i="2" s="1"/>
  <c r="L144" i="2"/>
  <c r="L143" i="2" s="1"/>
  <c r="L142" i="2"/>
  <c r="B142" i="2" s="1"/>
  <c r="J150" i="2"/>
  <c r="J146" i="2"/>
  <c r="J143" i="2"/>
  <c r="J175" i="2"/>
  <c r="J171" i="2"/>
  <c r="J168" i="2"/>
  <c r="I166" i="2"/>
  <c r="H175" i="2"/>
  <c r="I175" i="2"/>
  <c r="G175" i="2"/>
  <c r="I150" i="2"/>
  <c r="G150" i="2"/>
  <c r="G158" i="2" s="1"/>
  <c r="I141" i="2"/>
  <c r="G141" i="2"/>
  <c r="B180" i="2"/>
  <c r="B176" i="2"/>
  <c r="F175" i="2"/>
  <c r="F171" i="2"/>
  <c r="F168" i="2"/>
  <c r="F166" i="2" s="1"/>
  <c r="F150" i="2"/>
  <c r="F146" i="2"/>
  <c r="F141" i="2" s="1"/>
  <c r="F143" i="2"/>
  <c r="D175" i="2"/>
  <c r="D172" i="2"/>
  <c r="D171" i="2" s="1"/>
  <c r="D170" i="2"/>
  <c r="D169" i="2"/>
  <c r="D150" i="2"/>
  <c r="D148" i="2"/>
  <c r="D147" i="2"/>
  <c r="D145" i="2"/>
  <c r="D144" i="2"/>
  <c r="E171" i="2"/>
  <c r="E168" i="2"/>
  <c r="E150" i="2"/>
  <c r="E141" i="2"/>
  <c r="E158" i="2" s="1"/>
  <c r="H166" i="2"/>
  <c r="H141" i="2"/>
  <c r="H158" i="2" s="1"/>
  <c r="H150" i="2"/>
  <c r="B181" i="2"/>
  <c r="B155" i="2"/>
  <c r="B154" i="2"/>
  <c r="B153" i="2"/>
  <c r="B152" i="2"/>
  <c r="B129" i="2"/>
  <c r="B128" i="2"/>
  <c r="B125" i="2"/>
  <c r="B121" i="2"/>
  <c r="B111" i="2"/>
  <c r="B108" i="2"/>
  <c r="B107" i="2"/>
  <c r="L132" i="2"/>
  <c r="B132" i="2" s="1"/>
  <c r="E99" i="2"/>
  <c r="G99" i="2"/>
  <c r="H99" i="2"/>
  <c r="I99" i="2"/>
  <c r="L99" i="2"/>
  <c r="K141" i="2"/>
  <c r="E120" i="2"/>
  <c r="G120" i="2"/>
  <c r="H120" i="2"/>
  <c r="I120" i="2"/>
  <c r="K122" i="2"/>
  <c r="K120" i="2" s="1"/>
  <c r="J122" i="2"/>
  <c r="J120" i="2" s="1"/>
  <c r="J101" i="2"/>
  <c r="J99" i="2"/>
  <c r="D137" i="2"/>
  <c r="D127" i="2"/>
  <c r="D124" i="2"/>
  <c r="D123" i="2"/>
  <c r="D116" i="2"/>
  <c r="D106" i="2"/>
  <c r="D103" i="2"/>
  <c r="D102" i="2"/>
  <c r="D101" i="2" s="1"/>
  <c r="L175" i="2"/>
  <c r="L183" i="2"/>
  <c r="L137" i="2"/>
  <c r="L122" i="2"/>
  <c r="L120" i="2" s="1"/>
  <c r="L106" i="2"/>
  <c r="L113" i="2" s="1"/>
  <c r="B177" i="2"/>
  <c r="B167" i="2"/>
  <c r="H137" i="2"/>
  <c r="H127" i="2"/>
  <c r="H134" i="2" s="1"/>
  <c r="H106" i="2"/>
  <c r="H113" i="2" s="1"/>
  <c r="F137" i="2"/>
  <c r="F127" i="2"/>
  <c r="F122" i="2"/>
  <c r="F120" i="2" s="1"/>
  <c r="F116" i="2"/>
  <c r="F106" i="2"/>
  <c r="F104" i="2"/>
  <c r="B104" i="2" s="1"/>
  <c r="F101" i="2"/>
  <c r="F102" i="2" s="1"/>
  <c r="F100" i="2"/>
  <c r="B100" i="2" s="1"/>
  <c r="E130" i="2"/>
  <c r="E127" i="2" s="1"/>
  <c r="E109" i="2"/>
  <c r="B109" i="2" s="1"/>
  <c r="K166" i="2"/>
  <c r="J116" i="2"/>
  <c r="J137" i="2"/>
  <c r="G131" i="2"/>
  <c r="B131" i="2" s="1"/>
  <c r="I127" i="2"/>
  <c r="I134" i="2" s="1"/>
  <c r="G110" i="2"/>
  <c r="G106" i="2" s="1"/>
  <c r="G113" i="2" s="1"/>
  <c r="I106" i="2"/>
  <c r="I113" i="2" s="1"/>
  <c r="J106" i="2"/>
  <c r="J127" i="2"/>
  <c r="K127" i="2"/>
  <c r="K106" i="2"/>
  <c r="K103" i="2"/>
  <c r="K101" i="2" s="1"/>
  <c r="K99" i="2" s="1"/>
  <c r="K113" i="2" s="1"/>
  <c r="K150" i="2"/>
  <c r="E61" i="2"/>
  <c r="E73" i="2" s="1"/>
  <c r="F61" i="2"/>
  <c r="G61" i="2"/>
  <c r="H61" i="2"/>
  <c r="I61" i="2"/>
  <c r="J61" i="2"/>
  <c r="K61" i="2"/>
  <c r="F42" i="2"/>
  <c r="F54" i="2" s="1"/>
  <c r="G42" i="2"/>
  <c r="G54" i="2" s="1"/>
  <c r="H42" i="2"/>
  <c r="H54" i="2" s="1"/>
  <c r="I42" i="2"/>
  <c r="I54" i="2" s="1"/>
  <c r="J42" i="2"/>
  <c r="J54" i="2" s="1"/>
  <c r="K42" i="2"/>
  <c r="K54" i="2" s="1"/>
  <c r="F4" i="2"/>
  <c r="F16" i="2"/>
  <c r="G4" i="2"/>
  <c r="G16" i="2" s="1"/>
  <c r="H4" i="2"/>
  <c r="H16" i="2" s="1"/>
  <c r="I4" i="2"/>
  <c r="I16" i="2" s="1"/>
  <c r="J4" i="2"/>
  <c r="K4" i="2"/>
  <c r="F23" i="2"/>
  <c r="G23" i="2"/>
  <c r="G35" i="2" s="1"/>
  <c r="H23" i="2"/>
  <c r="H35" i="2" s="1"/>
  <c r="I23" i="2"/>
  <c r="I35" i="2" s="1"/>
  <c r="J23" i="2"/>
  <c r="K23" i="2"/>
  <c r="D80" i="2"/>
  <c r="E80" i="2"/>
  <c r="F80" i="2"/>
  <c r="G80" i="2"/>
  <c r="H80" i="2"/>
  <c r="H92" i="2" s="1"/>
  <c r="I80" i="2"/>
  <c r="J80" i="2"/>
  <c r="K80" i="2"/>
  <c r="B81" i="2"/>
  <c r="B82" i="2"/>
  <c r="B83" i="2"/>
  <c r="D85" i="2"/>
  <c r="E85" i="2"/>
  <c r="E92" i="2" s="1"/>
  <c r="F85" i="2"/>
  <c r="G85" i="2"/>
  <c r="H85" i="2"/>
  <c r="I85" i="2"/>
  <c r="J85" i="2"/>
  <c r="K85" i="2"/>
  <c r="B86" i="2"/>
  <c r="B87" i="2"/>
  <c r="B88" i="2"/>
  <c r="B89" i="2"/>
  <c r="B90" i="2"/>
  <c r="B95" i="2"/>
  <c r="E66" i="2"/>
  <c r="F66" i="2"/>
  <c r="G66" i="2"/>
  <c r="H66" i="2"/>
  <c r="H73" i="2" s="1"/>
  <c r="I66" i="2"/>
  <c r="J66" i="2"/>
  <c r="J73" i="2" s="1"/>
  <c r="K66" i="2"/>
  <c r="D66" i="2"/>
  <c r="D61" i="2"/>
  <c r="B62" i="2"/>
  <c r="B64" i="2"/>
  <c r="B68" i="2"/>
  <c r="B70" i="2"/>
  <c r="B76" i="2"/>
  <c r="B14" i="2"/>
  <c r="B11" i="2"/>
  <c r="B13" i="2"/>
  <c r="B30" i="2"/>
  <c r="B49" i="2"/>
  <c r="B48" i="2"/>
  <c r="E19" i="2"/>
  <c r="E9" i="2" s="1"/>
  <c r="D19" i="2"/>
  <c r="E57" i="2"/>
  <c r="E47" i="2" s="1"/>
  <c r="D42" i="2"/>
  <c r="E43" i="2"/>
  <c r="B43" i="2" s="1"/>
  <c r="E44" i="2"/>
  <c r="D57" i="2"/>
  <c r="E38" i="2"/>
  <c r="E28" i="2" s="1"/>
  <c r="D23" i="2"/>
  <c r="E24" i="2"/>
  <c r="E25" i="2"/>
  <c r="B25" i="2"/>
  <c r="D38" i="2"/>
  <c r="D4" i="2"/>
  <c r="E5" i="2"/>
  <c r="B5" i="2" s="1"/>
  <c r="E6" i="2"/>
  <c r="B6" i="2" s="1"/>
  <c r="B45" i="2"/>
  <c r="B26" i="2"/>
  <c r="B7" i="2"/>
  <c r="B71" i="2"/>
  <c r="B69" i="2"/>
  <c r="B67" i="2"/>
  <c r="B63" i="2"/>
  <c r="C82" i="2" s="1"/>
  <c r="B12" i="2"/>
  <c r="F28" i="2"/>
  <c r="F35" i="2" s="1"/>
  <c r="B51" i="2"/>
  <c r="D9" i="2"/>
  <c r="B31" i="2"/>
  <c r="D28" i="2"/>
  <c r="D35" i="2" s="1"/>
  <c r="D47" i="2"/>
  <c r="D54" i="2" s="1"/>
  <c r="B50" i="2"/>
  <c r="B52" i="2"/>
  <c r="B32" i="2"/>
  <c r="B33" i="2"/>
  <c r="B29" i="2"/>
  <c r="B10" i="2"/>
  <c r="B179" i="2"/>
  <c r="D143" i="2"/>
  <c r="B143" i="2" s="1"/>
  <c r="K92" i="2"/>
  <c r="B178" i="2"/>
  <c r="E175" i="2"/>
  <c r="I211" i="2"/>
  <c r="C83" i="2"/>
  <c r="F92" i="2"/>
  <c r="I196" i="2"/>
  <c r="I200" i="2"/>
  <c r="I193" i="2"/>
  <c r="B220" i="2"/>
  <c r="D122" i="2"/>
  <c r="D120" i="2" s="1"/>
  <c r="L215" i="2"/>
  <c r="L229" i="2" s="1"/>
  <c r="B229" i="2" s="1"/>
  <c r="C26" i="2"/>
  <c r="B217" i="2"/>
  <c r="L241" i="2"/>
  <c r="B254" i="2"/>
  <c r="B251" i="2"/>
  <c r="L127" i="2"/>
  <c r="L134" i="2" s="1"/>
  <c r="D232" i="2"/>
  <c r="L250" i="2"/>
  <c r="B252" i="2"/>
  <c r="C192" i="2"/>
  <c r="F73" i="2"/>
  <c r="H281" i="2"/>
  <c r="E281" i="2"/>
  <c r="B211" i="2" l="1"/>
  <c r="G127" i="2"/>
  <c r="E166" i="2"/>
  <c r="I158" i="2"/>
  <c r="B116" i="2"/>
  <c r="B130" i="2"/>
  <c r="I92" i="2"/>
  <c r="G73" i="2"/>
  <c r="D168" i="2"/>
  <c r="J191" i="2"/>
  <c r="J208" i="2" s="1"/>
  <c r="B151" i="2"/>
  <c r="D16" i="2"/>
  <c r="D92" i="2"/>
  <c r="G92" i="2"/>
  <c r="K158" i="2"/>
  <c r="H232" i="2"/>
  <c r="E23" i="2"/>
  <c r="B23" i="2" s="1"/>
  <c r="C81" i="2"/>
  <c r="B110" i="2"/>
  <c r="L196" i="2"/>
  <c r="L191" i="2" s="1"/>
  <c r="J232" i="2"/>
  <c r="E232" i="2"/>
  <c r="B57" i="2"/>
  <c r="C76" i="2" s="1"/>
  <c r="J92" i="2"/>
  <c r="E134" i="2"/>
  <c r="H183" i="2"/>
  <c r="F158" i="2"/>
  <c r="J166" i="2"/>
  <c r="J183" i="2" s="1"/>
  <c r="F193" i="2"/>
  <c r="F191" i="2" s="1"/>
  <c r="B24" i="2"/>
  <c r="C43" i="2" s="1"/>
  <c r="B235" i="2"/>
  <c r="C235" i="2" s="1"/>
  <c r="B85" i="2"/>
  <c r="C85" i="2" s="1"/>
  <c r="C45" i="2"/>
  <c r="C64" i="2"/>
  <c r="B61" i="2"/>
  <c r="J113" i="2"/>
  <c r="G134" i="2"/>
  <c r="B186" i="2"/>
  <c r="B161" i="2"/>
  <c r="B197" i="2"/>
  <c r="C221" i="2" s="1"/>
  <c r="G258" i="2"/>
  <c r="G281" i="2"/>
  <c r="B38" i="2"/>
  <c r="C95" i="2"/>
  <c r="K134" i="2"/>
  <c r="F123" i="2"/>
  <c r="F183" i="2"/>
  <c r="J141" i="2"/>
  <c r="H208" i="2"/>
  <c r="B66" i="2"/>
  <c r="B73" i="2" s="1"/>
  <c r="B28" i="2"/>
  <c r="E42" i="2"/>
  <c r="J134" i="2"/>
  <c r="I183" i="2"/>
  <c r="B47" i="2"/>
  <c r="L226" i="2"/>
  <c r="B226" i="2" s="1"/>
  <c r="C252" i="2" s="1"/>
  <c r="I191" i="2"/>
  <c r="K73" i="2"/>
  <c r="D146" i="2"/>
  <c r="D141" i="2" s="1"/>
  <c r="D158" i="2" s="1"/>
  <c r="J158" i="2"/>
  <c r="C121" i="2"/>
  <c r="C100" i="2"/>
  <c r="F134" i="2"/>
  <c r="B120" i="2"/>
  <c r="D134" i="2"/>
  <c r="C104" i="2"/>
  <c r="C125" i="2"/>
  <c r="I208" i="2"/>
  <c r="C25" i="2"/>
  <c r="B168" i="2"/>
  <c r="D166" i="2"/>
  <c r="B166" i="2" s="1"/>
  <c r="C142" i="2"/>
  <c r="C167" i="2"/>
  <c r="B101" i="2"/>
  <c r="D99" i="2"/>
  <c r="B127" i="2"/>
  <c r="B122" i="2"/>
  <c r="B19" i="2"/>
  <c r="E208" i="2"/>
  <c r="E35" i="2"/>
  <c r="B175" i="2"/>
  <c r="E4" i="2"/>
  <c r="B4" i="2" s="1"/>
  <c r="F99" i="2"/>
  <c r="F113" i="2" s="1"/>
  <c r="B44" i="2"/>
  <c r="I73" i="2"/>
  <c r="E106" i="2"/>
  <c r="L141" i="2"/>
  <c r="L158" i="2" s="1"/>
  <c r="C62" i="2"/>
  <c r="L258" i="2"/>
  <c r="E183" i="2"/>
  <c r="D73" i="2"/>
  <c r="C216" i="2"/>
  <c r="B150" i="2"/>
  <c r="B9" i="2"/>
  <c r="B261" i="2"/>
  <c r="C261" i="2" s="1"/>
  <c r="C47" i="2"/>
  <c r="F232" i="2"/>
  <c r="B171" i="2"/>
  <c r="L225" i="2"/>
  <c r="B225" i="2" s="1"/>
  <c r="C229" i="2"/>
  <c r="C255" i="2"/>
  <c r="L228" i="2"/>
  <c r="B228" i="2" s="1"/>
  <c r="C244" i="2"/>
  <c r="C248" i="2"/>
  <c r="C242" i="2"/>
  <c r="C227" i="2"/>
  <c r="C218" i="2"/>
  <c r="B250" i="2"/>
  <c r="C246" i="2"/>
  <c r="C245" i="2"/>
  <c r="C247" i="2"/>
  <c r="C219" i="2"/>
  <c r="C243" i="2"/>
  <c r="C222" i="2"/>
  <c r="B268" i="2"/>
  <c r="B267" i="2"/>
  <c r="L281" i="2"/>
  <c r="B265" i="2"/>
  <c r="C253" i="2"/>
  <c r="B274" i="2"/>
  <c r="B284" i="2"/>
  <c r="C211" i="2"/>
  <c r="B42" i="2"/>
  <c r="E54" i="2"/>
  <c r="B80" i="2"/>
  <c r="C116" i="2"/>
  <c r="B137" i="2"/>
  <c r="B215" i="2"/>
  <c r="B241" i="2"/>
  <c r="E258" i="2"/>
  <c r="B141" i="2" l="1"/>
  <c r="B158" i="2" s="1"/>
  <c r="B196" i="2"/>
  <c r="C265" i="2"/>
  <c r="L201" i="2"/>
  <c r="B201" i="2" s="1"/>
  <c r="L202" i="2"/>
  <c r="B202" i="2" s="1"/>
  <c r="E16" i="2"/>
  <c r="C24" i="2"/>
  <c r="C66" i="2"/>
  <c r="C57" i="2"/>
  <c r="B191" i="2"/>
  <c r="C191" i="2" s="1"/>
  <c r="F208" i="2"/>
  <c r="B35" i="2"/>
  <c r="B193" i="2"/>
  <c r="B146" i="2"/>
  <c r="C38" i="2"/>
  <c r="C186" i="2"/>
  <c r="C254" i="2"/>
  <c r="C150" i="2"/>
  <c r="E113" i="2"/>
  <c r="B106" i="2"/>
  <c r="D183" i="2"/>
  <c r="B183" i="2"/>
  <c r="C175" i="2"/>
  <c r="C122" i="2"/>
  <c r="C168" i="2"/>
  <c r="C193" i="2"/>
  <c r="C251" i="2"/>
  <c r="D113" i="2"/>
  <c r="B99" i="2"/>
  <c r="C120" i="2" s="1"/>
  <c r="C23" i="2"/>
  <c r="C101" i="2"/>
  <c r="C143" i="2"/>
  <c r="B16" i="2"/>
  <c r="C28" i="2"/>
  <c r="C44" i="2"/>
  <c r="C63" i="2"/>
  <c r="B134" i="2"/>
  <c r="C127" i="2"/>
  <c r="L224" i="2"/>
  <c r="C228" i="2"/>
  <c r="B281" i="2"/>
  <c r="C241" i="2"/>
  <c r="B258" i="2"/>
  <c r="B236" i="2"/>
  <c r="C215" i="2"/>
  <c r="C220" i="2"/>
  <c r="C196" i="2"/>
  <c r="C137" i="2"/>
  <c r="C161" i="2"/>
  <c r="C80" i="2"/>
  <c r="B92" i="2"/>
  <c r="C61" i="2"/>
  <c r="B54" i="2"/>
  <c r="C42" i="2"/>
  <c r="L200" i="2" l="1"/>
  <c r="C141" i="2"/>
  <c r="C166" i="2"/>
  <c r="C226" i="2"/>
  <c r="C99" i="2"/>
  <c r="C217" i="2"/>
  <c r="C146" i="2"/>
  <c r="C183" i="2"/>
  <c r="C171" i="2"/>
  <c r="C158" i="2"/>
  <c r="C225" i="2"/>
  <c r="B200" i="2"/>
  <c r="L208" i="2"/>
  <c r="C35" i="2"/>
  <c r="C106" i="2"/>
  <c r="B113" i="2"/>
  <c r="C134" i="2" s="1"/>
  <c r="L232" i="2"/>
  <c r="B224" i="2"/>
  <c r="C54" i="2"/>
  <c r="C73" i="2"/>
  <c r="C92" i="2"/>
  <c r="C113" i="2" l="1"/>
  <c r="B208" i="2"/>
  <c r="C208" i="2" s="1"/>
  <c r="C200" i="2"/>
  <c r="C224" i="2"/>
  <c r="C250" i="2"/>
  <c r="B237" i="2"/>
  <c r="B232" i="2"/>
  <c r="C232" i="2" l="1"/>
</calcChain>
</file>

<file path=xl/sharedStrings.xml><?xml version="1.0" encoding="utf-8"?>
<sst xmlns="http://schemas.openxmlformats.org/spreadsheetml/2006/main" count="693" uniqueCount="193">
  <si>
    <t>Gefactureerde omzet</t>
  </si>
  <si>
    <t>water</t>
  </si>
  <si>
    <t>gemeentelijke bijdr/verg.</t>
  </si>
  <si>
    <t>Kosten</t>
  </si>
  <si>
    <t>- Personeel</t>
  </si>
  <si>
    <t>- Oninbaar + waardeverminderingen</t>
  </si>
  <si>
    <t>VMW</t>
  </si>
  <si>
    <t>AWW</t>
  </si>
  <si>
    <t>PIDPA</t>
  </si>
  <si>
    <t>TMVW</t>
  </si>
  <si>
    <t>IWVA</t>
  </si>
  <si>
    <t>IWVB</t>
  </si>
  <si>
    <t>VIVAQUA</t>
  </si>
  <si>
    <t>IWM</t>
  </si>
  <si>
    <t>Totaal</t>
  </si>
  <si>
    <t>bovengem. bijdrage</t>
  </si>
  <si>
    <t>- Diensten derden, materialen en energie</t>
  </si>
  <si>
    <t>- Overige kosten en voorzieningen</t>
  </si>
  <si>
    <t xml:space="preserve">- Gerecupereerde kosten </t>
  </si>
  <si>
    <t>Kostenpercentage</t>
  </si>
  <si>
    <t>oninbaar + waardevermindering</t>
  </si>
  <si>
    <t>stijging tov 2007</t>
  </si>
  <si>
    <t>stijging tov 2008</t>
  </si>
  <si>
    <t>stijging tov 2009</t>
  </si>
  <si>
    <t>stijging tov 2010</t>
  </si>
  <si>
    <t>stijging tov 2011</t>
  </si>
  <si>
    <t>Knokke</t>
  </si>
  <si>
    <t>- gemeentelijke bijdrage</t>
  </si>
  <si>
    <t>- gemeentelijke vergoeding</t>
  </si>
  <si>
    <t>stijging tov 2012</t>
  </si>
  <si>
    <t>actual 2014</t>
  </si>
  <si>
    <t>stijging tov 2013</t>
  </si>
  <si>
    <t>bovengem.bijdr/verg</t>
  </si>
  <si>
    <t>- bovengemeentelijke bijdrage</t>
  </si>
  <si>
    <t>- bovengemeentelijke vergoeding</t>
  </si>
  <si>
    <t>- kost invoeren BGV</t>
  </si>
  <si>
    <t>actual 2015</t>
  </si>
  <si>
    <t>stijging tov 2014</t>
  </si>
  <si>
    <t>actual 2016</t>
  </si>
  <si>
    <t>stijging tov 2015</t>
  </si>
  <si>
    <t>actual 2017</t>
  </si>
  <si>
    <t>stijging tov 2016</t>
  </si>
  <si>
    <t>Water-link</t>
  </si>
  <si>
    <t>actual 2018</t>
  </si>
  <si>
    <t>stijging tov 2017</t>
  </si>
  <si>
    <t>De Watergroep</t>
  </si>
  <si>
    <t>actual 2019</t>
  </si>
  <si>
    <t>stijging tov 2018</t>
  </si>
  <si>
    <t>Farys</t>
  </si>
  <si>
    <t>AGSO Knokke-Heist</t>
  </si>
  <si>
    <t>actual 2020</t>
  </si>
  <si>
    <t>Personeelskosten</t>
  </si>
  <si>
    <t>Klantencontact</t>
  </si>
  <si>
    <t>Overige</t>
  </si>
  <si>
    <t>Boekhoudkundige verwerking</t>
  </si>
  <si>
    <t>Overige kosten</t>
  </si>
  <si>
    <t>1ste herinnering</t>
  </si>
  <si>
    <t>2de herinnering</t>
  </si>
  <si>
    <t>…</t>
  </si>
  <si>
    <t>Aantal documenten</t>
  </si>
  <si>
    <t>Waterbedrijf</t>
  </si>
  <si>
    <t>Pidpa</t>
  </si>
  <si>
    <t>Aquaduin</t>
  </si>
  <si>
    <t>Toewijzing kosten</t>
  </si>
  <si>
    <t>Debiteuren-beheer</t>
  </si>
  <si>
    <t>€</t>
  </si>
  <si>
    <t>%</t>
  </si>
  <si>
    <t>#</t>
  </si>
  <si>
    <t>Opmerking</t>
  </si>
  <si>
    <t>Actual 2020</t>
  </si>
  <si>
    <t>1ste herinneringen</t>
  </si>
  <si>
    <t>2de herinneringen</t>
  </si>
  <si>
    <t>Ingebrekestellingen</t>
  </si>
  <si>
    <t>Aantallen aanmaningscyclus</t>
  </si>
  <si>
    <t>Verzendingskost</t>
  </si>
  <si>
    <t>Externe inningskosten</t>
  </si>
  <si>
    <t>Printstraat</t>
  </si>
  <si>
    <t>Personeelskost</t>
  </si>
  <si>
    <r>
      <rPr>
        <i/>
        <sz val="10"/>
        <color rgb="FFC00000"/>
        <rFont val="Arial"/>
        <family val="2"/>
      </rPr>
      <t>ofwel</t>
    </r>
    <r>
      <rPr>
        <i/>
        <sz val="10"/>
        <rFont val="Arial"/>
        <family val="2"/>
      </rPr>
      <t xml:space="preserve"> Direct toewijsbaar</t>
    </r>
  </si>
  <si>
    <t>Totale kost</t>
  </si>
  <si>
    <t>Slechts één optie in te vullen: direct, % verdeelsleutel</t>
  </si>
  <si>
    <t>Indien verdeelsleutel, kort toe te lichten</t>
  </si>
  <si>
    <r>
      <rPr>
        <i/>
        <sz val="10"/>
        <color rgb="FFC00000"/>
        <rFont val="Arial"/>
        <family val="2"/>
      </rPr>
      <t>ofwel</t>
    </r>
    <r>
      <rPr>
        <i/>
        <sz val="10"/>
        <rFont val="Arial"/>
        <family val="2"/>
      </rPr>
      <t xml:space="preserve"> obv Verdeelsleutel</t>
    </r>
  </si>
  <si>
    <t>Overige activiteiten</t>
  </si>
  <si>
    <t>Aanmanings-cyclus</t>
  </si>
  <si>
    <t>Invorderings-cyclus</t>
  </si>
  <si>
    <t>Diensten en diverse goederen</t>
  </si>
  <si>
    <t>IT kosten</t>
  </si>
  <si>
    <t>Slechts één optie in te vullen: direct, % verdeelsleutel (obv tijdsbesteding, aantallen VTE's,…)</t>
  </si>
  <si>
    <t>Kosten mbt …</t>
  </si>
  <si>
    <t>… kosten</t>
  </si>
  <si>
    <t>Indirect toe te wijzen obv eerder verdeelde kosten</t>
  </si>
  <si>
    <t>Kosten aan te rekenen aan aanmaning en ingebrekestelling</t>
  </si>
  <si>
    <t>Keuze van aan te rekenen kosten</t>
  </si>
  <si>
    <t>Ja</t>
  </si>
  <si>
    <t>ofwel Direct toewijsbaar</t>
  </si>
  <si>
    <t>ofwel obv Verdeelsleutel</t>
  </si>
  <si>
    <t>Totaal Personeelskosten</t>
  </si>
  <si>
    <t>Totaal Diensten en diverse goederen</t>
  </si>
  <si>
    <t>Voorbeeld overige</t>
  </si>
  <si>
    <t>Toegewezen kosten stap 1</t>
  </si>
  <si>
    <t>Aandeel</t>
  </si>
  <si>
    <t>Overige kosten stap 2</t>
  </si>
  <si>
    <t>Aantal</t>
  </si>
  <si>
    <t>Ingebrekestelling</t>
  </si>
  <si>
    <t>Kost per document</t>
  </si>
  <si>
    <t>Totale kosten</t>
  </si>
  <si>
    <t>Beroep op incassobureau</t>
  </si>
  <si>
    <t>Incasso</t>
  </si>
  <si>
    <t>Selectie van aan te rekenen kosten</t>
  </si>
  <si>
    <t>Default "Ja"</t>
  </si>
  <si>
    <t>Financieringskost</t>
  </si>
  <si>
    <t>Financiële kosten</t>
  </si>
  <si>
    <t>Op te delen:
1. Debiteurenbeheer versus 'Overige activiteiten' (Meteropname, Facturatie, Beheer klantgegevens, Klantencontact, Contact overheden, …)
2. Binnen Debiteurenbeheer: Aanmaningcyclus, Invorderingscyclus en Boekhoudkundige verwerking
3. Binnen Aanmaningscyclus: 1ste herinnering, 2de herinnering, incasso, ingebrekestelling</t>
  </si>
  <si>
    <t>Totaal Personeelskost, D&amp;DG, Overige kost, Financiële kost</t>
  </si>
  <si>
    <t>Technische controle van de watermeter</t>
  </si>
  <si>
    <t>Opname van de watermeterstand via een plaatsbezoek</t>
  </si>
  <si>
    <t xml:space="preserve">De controle van de kwaliteit van het geleverde water bestemd voor menselijke consumptie </t>
  </si>
  <si>
    <t xml:space="preserve">De controle van de druk op straatniveau van het geleverde water bestemd voor menselijke consumptie </t>
  </si>
  <si>
    <t xml:space="preserve">De bijstand bij de uitvoering van capaciteitsberekening die door een derde wordt uitgevoerd </t>
  </si>
  <si>
    <t xml:space="preserve">De plaatsing van een standaardaftakking en de aansluiting op het openbaar waterdistributienetwerk </t>
  </si>
  <si>
    <t xml:space="preserve">Het wegnemen van een watermeter </t>
  </si>
  <si>
    <t>Het terugplaatsen van een watermeter</t>
  </si>
  <si>
    <t>Het geheel of gedeeltelijk verwijderen van een aftakking</t>
  </si>
  <si>
    <t xml:space="preserve">De standaard keuring Klasse A </t>
  </si>
  <si>
    <t xml:space="preserve">De standpijp voor tijdelijke waterlevering </t>
  </si>
  <si>
    <t xml:space="preserve">Begrenzen van het debiet of afsluiten waterlevering en verwijdering van de debietbegrenzing of  heraansluiten waterlevering op vraag </t>
  </si>
  <si>
    <t>Het maken van een nutteloze verplaatsing ten gevolge van nalatigheid vanwege de klant of titularis of een laattijdige planningswijziging</t>
  </si>
  <si>
    <t xml:space="preserve">De begrenzing van de waterleveringen de wegneming ervan </t>
  </si>
  <si>
    <t>De afsluiting van de waterlevering en de heraansluiting</t>
  </si>
  <si>
    <t xml:space="preserve">De verlengde dossieropvolging in het kader van de keuring drinkwatervoorziening </t>
  </si>
  <si>
    <t>Het opvolgen van een onvolledige tegensprekelijke overname</t>
  </si>
  <si>
    <t xml:space="preserve">Het rechtzetten van de facturatie na een foutieve of geraamde meterstand </t>
  </si>
  <si>
    <t>Personeelskosten (excl verplaatsing)</t>
  </si>
  <si>
    <t>uren (h)</t>
  </si>
  <si>
    <t>A</t>
  </si>
  <si>
    <t>uurloon (€/h)</t>
  </si>
  <si>
    <t>B</t>
  </si>
  <si>
    <t>Subtot personeelskosten (€)</t>
  </si>
  <si>
    <t>X</t>
  </si>
  <si>
    <t>Verplaatsingskosten</t>
  </si>
  <si>
    <t>gemiddeld aantal kilometer (km)</t>
  </si>
  <si>
    <t>C</t>
  </si>
  <si>
    <t>kilometervergoeding (€/km)</t>
  </si>
  <si>
    <t>D</t>
  </si>
  <si>
    <t xml:space="preserve"> verplaatsingsuren (h)</t>
  </si>
  <si>
    <t>E</t>
  </si>
  <si>
    <t>F</t>
  </si>
  <si>
    <t>Subtot verplaatsing (€)</t>
  </si>
  <si>
    <t>Y = C*D + E*F</t>
  </si>
  <si>
    <t>Materiaalkosten</t>
  </si>
  <si>
    <t>aantal onderdelen/wisselstukken (stuks of sets)</t>
  </si>
  <si>
    <t> G</t>
  </si>
  <si>
    <t>gem. prijs onderdelen/wisselstukken (€/set)</t>
  </si>
  <si>
    <t> H</t>
  </si>
  <si>
    <t>hoeveelheid grondstoffen (m³)</t>
  </si>
  <si>
    <t> I</t>
  </si>
  <si>
    <t>gemiddelde prijs grondstoffen (€/m³)</t>
  </si>
  <si>
    <t> J</t>
  </si>
  <si>
    <t>Subtot materiaalkosten (€)</t>
  </si>
  <si>
    <t>Z = G*H+I*J</t>
  </si>
  <si>
    <t>Kosten onderaannemers</t>
  </si>
  <si>
    <t>tarieven per werk (€)</t>
  </si>
  <si>
    <t>K</t>
  </si>
  <si>
    <t>Andere</t>
  </si>
  <si>
    <t>Andere kosten per werk (€)</t>
  </si>
  <si>
    <t>L</t>
  </si>
  <si>
    <t>verklaren welke andere kosten (TEKST)</t>
  </si>
  <si>
    <t>Som Directe kosten (€)</t>
  </si>
  <si>
    <t>DK=X+Y+Z+K+L</t>
  </si>
  <si>
    <t>Indirecte kosten</t>
  </si>
  <si>
    <t>Directe kosten (som subtotaal in €)</t>
  </si>
  <si>
    <t>DK</t>
  </si>
  <si>
    <t>percentage</t>
  </si>
  <si>
    <t>P</t>
  </si>
  <si>
    <t>Som Indirecte kosten (€)</t>
  </si>
  <si>
    <t>IK=DK*P</t>
  </si>
  <si>
    <t>Totale kosten (excl BTW)</t>
  </si>
  <si>
    <t>Som directe + indirecte kosten (€)</t>
  </si>
  <si>
    <t>TK=DK+IK</t>
  </si>
  <si>
    <t>korting (negatief) of ontrading (positief)</t>
  </si>
  <si>
    <t>hoogte in € (negatief of positief)</t>
  </si>
  <si>
    <t>Verklaren (zowel de reden als de hoogte) (TEKST)</t>
  </si>
  <si>
    <t>Totaal (excl. BTW)</t>
  </si>
  <si>
    <t>Directe + indirecte - korting + ontrading (€)</t>
  </si>
  <si>
    <t>TK-K</t>
  </si>
  <si>
    <t>Finaal tarief</t>
  </si>
  <si>
    <t>Korting*</t>
  </si>
  <si>
    <t>Bijkomende kost*</t>
  </si>
  <si>
    <t>*Onderbouwing korting/bijkomende kost</t>
  </si>
  <si>
    <t>Berekende kost per document</t>
  </si>
  <si>
    <t>Kosten obv Inningsbijdrage (indicatief actuals 2020)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</si>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</sst>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#,##0.0000"/>
    <numFmt numFmtId="170" formatCode="#,##0.00000"/>
    <numFmt numFmtId="171" formatCode="###,00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color theme="7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i/>
      <u/>
      <sz val="10"/>
      <name val="Arial"/>
      <family val="2"/>
    </font>
    <font>
      <u/>
      <sz val="10"/>
      <color theme="7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3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theme="0" tint="-0.499984740745262"/>
      </patternFill>
    </fill>
    <fill>
      <patternFill patternType="solid">
        <fgColor rgb="FFFFFFCC"/>
        <bgColor theme="0" tint="-0.499984740745262"/>
      </patternFill>
    </fill>
    <fill>
      <patternFill patternType="solid">
        <fgColor theme="0" tint="-4.9989318521683403E-2"/>
        <bgColor theme="0" tint="-0.49998474074526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0" tint="-0.499984740745262"/>
      </patternFill>
    </fill>
    <fill>
      <patternFill patternType="solid">
        <fgColor rgb="FFF5F9D3"/>
        <bgColor indexed="64"/>
      </patternFill>
    </fill>
    <fill>
      <patternFill patternType="darkDown">
        <bgColor rgb="FFF5F9D3"/>
      </patternFill>
    </fill>
    <fill>
      <patternFill patternType="darkDown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dark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/>
      <right style="dotted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30">
    <xf numFmtId="0" fontId="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2" fillId="20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167" fontId="19" fillId="0" borderId="0" applyFont="0" applyFill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5" borderId="1" applyNumberFormat="0" applyAlignment="0" applyProtection="0"/>
    <xf numFmtId="0" fontId="13" fillId="25" borderId="1" applyNumberFormat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9" fillId="0" borderId="0"/>
    <xf numFmtId="0" fontId="46" fillId="0" borderId="0"/>
    <xf numFmtId="0" fontId="46" fillId="0" borderId="0"/>
    <xf numFmtId="0" fontId="19" fillId="0" borderId="0"/>
    <xf numFmtId="0" fontId="3" fillId="27" borderId="7" applyNumberFormat="0" applyFont="0" applyAlignment="0" applyProtection="0"/>
    <xf numFmtId="0" fontId="35" fillId="27" borderId="7" applyNumberFormat="0" applyFont="0" applyAlignment="0" applyProtection="0"/>
    <xf numFmtId="0" fontId="19" fillId="27" borderId="7" applyNumberFormat="0" applyFont="0" applyAlignment="0" applyProtection="0"/>
    <xf numFmtId="0" fontId="38" fillId="27" borderId="7" applyNumberFormat="0" applyFont="0" applyAlignment="0" applyProtection="0"/>
    <xf numFmtId="0" fontId="19" fillId="27" borderId="7" applyNumberFormat="0" applyFont="0" applyAlignment="0" applyProtection="0"/>
    <xf numFmtId="0" fontId="19" fillId="27" borderId="7" applyNumberFormat="0" applyFont="0" applyAlignment="0" applyProtection="0"/>
    <xf numFmtId="0" fontId="42" fillId="27" borderId="7" applyNumberFormat="0" applyFont="0" applyAlignment="0" applyProtection="0"/>
    <xf numFmtId="0" fontId="19" fillId="27" borderId="7" applyNumberFormat="0" applyFont="0" applyAlignment="0" applyProtection="0"/>
    <xf numFmtId="0" fontId="43" fillId="27" borderId="7" applyNumberFormat="0" applyFont="0" applyAlignment="0" applyProtection="0"/>
    <xf numFmtId="0" fontId="19" fillId="27" borderId="7" applyNumberFormat="0" applyFont="0" applyAlignment="0" applyProtection="0"/>
    <xf numFmtId="0" fontId="44" fillId="27" borderId="7" applyNumberFormat="0" applyFont="0" applyAlignment="0" applyProtection="0"/>
    <xf numFmtId="0" fontId="19" fillId="27" borderId="7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5" fillId="26" borderId="9" applyNumberFormat="0" applyProtection="0">
      <alignment vertical="center"/>
    </xf>
    <xf numFmtId="4" fontId="26" fillId="26" borderId="9" applyNumberFormat="0" applyProtection="0">
      <alignment vertical="center"/>
    </xf>
    <xf numFmtId="4" fontId="25" fillId="26" borderId="9" applyNumberFormat="0" applyProtection="0">
      <alignment horizontal="left" vertical="center" indent="1"/>
    </xf>
    <xf numFmtId="0" fontId="25" fillId="26" borderId="9" applyNumberFormat="0" applyProtection="0">
      <alignment horizontal="left" vertical="top" indent="1"/>
    </xf>
    <xf numFmtId="4" fontId="25" fillId="28" borderId="0" applyNumberFormat="0" applyProtection="0">
      <alignment horizontal="left" vertical="center" indent="1"/>
    </xf>
    <xf numFmtId="4" fontId="24" fillId="2" borderId="9" applyNumberFormat="0" applyProtection="0">
      <alignment horizontal="right" vertical="center"/>
    </xf>
    <xf numFmtId="4" fontId="24" fillId="29" borderId="9" applyNumberFormat="0" applyProtection="0">
      <alignment horizontal="right" vertical="center"/>
    </xf>
    <xf numFmtId="4" fontId="24" fillId="30" borderId="9" applyNumberFormat="0" applyProtection="0">
      <alignment horizontal="right" vertical="center"/>
    </xf>
    <xf numFmtId="4" fontId="24" fillId="31" borderId="9" applyNumberFormat="0" applyProtection="0">
      <alignment horizontal="right" vertical="center"/>
    </xf>
    <xf numFmtId="4" fontId="24" fillId="8" borderId="9" applyNumberFormat="0" applyProtection="0">
      <alignment horizontal="right" vertical="center"/>
    </xf>
    <xf numFmtId="4" fontId="24" fillId="15" borderId="9" applyNumberFormat="0" applyProtection="0">
      <alignment horizontal="right" vertical="center"/>
    </xf>
    <xf numFmtId="4" fontId="24" fillId="32" borderId="9" applyNumberFormat="0" applyProtection="0">
      <alignment horizontal="right" vertical="center"/>
    </xf>
    <xf numFmtId="4" fontId="24" fillId="33" borderId="9" applyNumberFormat="0" applyProtection="0">
      <alignment horizontal="right" vertical="center"/>
    </xf>
    <xf numFmtId="4" fontId="24" fillId="6" borderId="9" applyNumberFormat="0" applyProtection="0">
      <alignment horizontal="right" vertical="center"/>
    </xf>
    <xf numFmtId="4" fontId="25" fillId="34" borderId="1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7" fillId="7" borderId="0" applyNumberFormat="0" applyProtection="0">
      <alignment horizontal="left" vertical="center" indent="1"/>
    </xf>
    <xf numFmtId="4" fontId="36" fillId="7" borderId="0" applyNumberFormat="0" applyProtection="0">
      <alignment horizontal="left" vertical="center" indent="1"/>
    </xf>
    <xf numFmtId="4" fontId="27" fillId="7" borderId="0" applyNumberFormat="0" applyProtection="0">
      <alignment horizontal="left" vertical="center" indent="1"/>
    </xf>
    <xf numFmtId="4" fontId="39" fillId="7" borderId="0" applyNumberFormat="0" applyProtection="0">
      <alignment horizontal="left" vertical="center" indent="1"/>
    </xf>
    <xf numFmtId="4" fontId="27" fillId="7" borderId="0" applyNumberFormat="0" applyProtection="0">
      <alignment horizontal="left" vertical="center" indent="1"/>
    </xf>
    <xf numFmtId="4" fontId="24" fillId="28" borderId="9" applyNumberFormat="0" applyProtection="0">
      <alignment horizontal="right" vertical="center"/>
    </xf>
    <xf numFmtId="4" fontId="28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0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0" fontId="3" fillId="7" borderId="9" applyNumberFormat="0" applyProtection="0">
      <alignment horizontal="left" vertical="center" indent="1"/>
    </xf>
    <xf numFmtId="0" fontId="35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center" indent="1"/>
    </xf>
    <xf numFmtId="0" fontId="38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center" indent="1"/>
    </xf>
    <xf numFmtId="0" fontId="42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center" indent="1"/>
    </xf>
    <xf numFmtId="0" fontId="43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center" indent="1"/>
    </xf>
    <xf numFmtId="0" fontId="44" fillId="7" borderId="9" applyNumberFormat="0" applyProtection="0">
      <alignment horizontal="left" vertical="center" indent="1"/>
    </xf>
    <xf numFmtId="0" fontId="3" fillId="7" borderId="9" applyNumberFormat="0" applyProtection="0">
      <alignment horizontal="left" vertical="top" indent="1"/>
    </xf>
    <xf numFmtId="0" fontId="35" fillId="7" borderId="9" applyNumberFormat="0" applyProtection="0">
      <alignment horizontal="left" vertical="top" indent="1"/>
    </xf>
    <xf numFmtId="0" fontId="19" fillId="7" borderId="9" applyNumberFormat="0" applyProtection="0">
      <alignment horizontal="left" vertical="top" indent="1"/>
    </xf>
    <xf numFmtId="0" fontId="19" fillId="7" borderId="9" applyNumberFormat="0" applyProtection="0">
      <alignment horizontal="left" vertical="top" indent="1"/>
    </xf>
    <xf numFmtId="0" fontId="38" fillId="7" borderId="9" applyNumberFormat="0" applyProtection="0">
      <alignment horizontal="left" vertical="top" indent="1"/>
    </xf>
    <xf numFmtId="0" fontId="19" fillId="7" borderId="9" applyNumberFormat="0" applyProtection="0">
      <alignment horizontal="left" vertical="top" indent="1"/>
    </xf>
    <xf numFmtId="0" fontId="42" fillId="7" borderId="9" applyNumberFormat="0" applyProtection="0">
      <alignment horizontal="left" vertical="top" indent="1"/>
    </xf>
    <xf numFmtId="0" fontId="19" fillId="7" borderId="9" applyNumberFormat="0" applyProtection="0">
      <alignment horizontal="left" vertical="top" indent="1"/>
    </xf>
    <xf numFmtId="0" fontId="43" fillId="7" borderId="9" applyNumberFormat="0" applyProtection="0">
      <alignment horizontal="left" vertical="top" indent="1"/>
    </xf>
    <xf numFmtId="0" fontId="19" fillId="7" borderId="9" applyNumberFormat="0" applyProtection="0">
      <alignment horizontal="left" vertical="top" indent="1"/>
    </xf>
    <xf numFmtId="0" fontId="44" fillId="7" borderId="9" applyNumberFormat="0" applyProtection="0">
      <alignment horizontal="left" vertical="top" indent="1"/>
    </xf>
    <xf numFmtId="0" fontId="3" fillId="28" borderId="9" applyNumberFormat="0" applyProtection="0">
      <alignment horizontal="left" vertical="center" indent="1"/>
    </xf>
    <xf numFmtId="0" fontId="35" fillId="28" borderId="9" applyNumberFormat="0" applyProtection="0">
      <alignment horizontal="left" vertical="center" indent="1"/>
    </xf>
    <xf numFmtId="0" fontId="19" fillId="28" borderId="9" applyNumberFormat="0" applyProtection="0">
      <alignment horizontal="left" vertical="center" indent="1"/>
    </xf>
    <xf numFmtId="0" fontId="19" fillId="28" borderId="9" applyNumberFormat="0" applyProtection="0">
      <alignment horizontal="left" vertical="center" indent="1"/>
    </xf>
    <xf numFmtId="0" fontId="38" fillId="28" borderId="9" applyNumberFormat="0" applyProtection="0">
      <alignment horizontal="left" vertical="center" indent="1"/>
    </xf>
    <xf numFmtId="0" fontId="19" fillId="28" borderId="9" applyNumberFormat="0" applyProtection="0">
      <alignment horizontal="left" vertical="center" indent="1"/>
    </xf>
    <xf numFmtId="0" fontId="42" fillId="28" borderId="9" applyNumberFormat="0" applyProtection="0">
      <alignment horizontal="left" vertical="center" indent="1"/>
    </xf>
    <xf numFmtId="0" fontId="19" fillId="28" borderId="9" applyNumberFormat="0" applyProtection="0">
      <alignment horizontal="left" vertical="center" indent="1"/>
    </xf>
    <xf numFmtId="0" fontId="43" fillId="28" borderId="9" applyNumberFormat="0" applyProtection="0">
      <alignment horizontal="left" vertical="center" indent="1"/>
    </xf>
    <xf numFmtId="0" fontId="19" fillId="28" borderId="9" applyNumberFormat="0" applyProtection="0">
      <alignment horizontal="left" vertical="center" indent="1"/>
    </xf>
    <xf numFmtId="0" fontId="44" fillId="28" borderId="9" applyNumberFormat="0" applyProtection="0">
      <alignment horizontal="left" vertical="center" indent="1"/>
    </xf>
    <xf numFmtId="0" fontId="3" fillId="28" borderId="9" applyNumberFormat="0" applyProtection="0">
      <alignment horizontal="left" vertical="top" indent="1"/>
    </xf>
    <xf numFmtId="0" fontId="35" fillId="28" borderId="9" applyNumberFormat="0" applyProtection="0">
      <alignment horizontal="left" vertical="top" indent="1"/>
    </xf>
    <xf numFmtId="0" fontId="19" fillId="28" borderId="9" applyNumberFormat="0" applyProtection="0">
      <alignment horizontal="left" vertical="top" indent="1"/>
    </xf>
    <xf numFmtId="0" fontId="19" fillId="28" borderId="9" applyNumberFormat="0" applyProtection="0">
      <alignment horizontal="left" vertical="top" indent="1"/>
    </xf>
    <xf numFmtId="0" fontId="38" fillId="28" borderId="9" applyNumberFormat="0" applyProtection="0">
      <alignment horizontal="left" vertical="top" indent="1"/>
    </xf>
    <xf numFmtId="0" fontId="19" fillId="28" borderId="9" applyNumberFormat="0" applyProtection="0">
      <alignment horizontal="left" vertical="top" indent="1"/>
    </xf>
    <xf numFmtId="0" fontId="42" fillId="28" borderId="9" applyNumberFormat="0" applyProtection="0">
      <alignment horizontal="left" vertical="top" indent="1"/>
    </xf>
    <xf numFmtId="0" fontId="19" fillId="28" borderId="9" applyNumberFormat="0" applyProtection="0">
      <alignment horizontal="left" vertical="top" indent="1"/>
    </xf>
    <xf numFmtId="0" fontId="43" fillId="28" borderId="9" applyNumberFormat="0" applyProtection="0">
      <alignment horizontal="left" vertical="top" indent="1"/>
    </xf>
    <xf numFmtId="0" fontId="19" fillId="28" borderId="9" applyNumberFormat="0" applyProtection="0">
      <alignment horizontal="left" vertical="top" indent="1"/>
    </xf>
    <xf numFmtId="0" fontId="44" fillId="28" borderId="9" applyNumberFormat="0" applyProtection="0">
      <alignment horizontal="left" vertical="top" indent="1"/>
    </xf>
    <xf numFmtId="0" fontId="3" fillId="5" borderId="9" applyNumberFormat="0" applyProtection="0">
      <alignment horizontal="left" vertical="center" indent="1"/>
    </xf>
    <xf numFmtId="0" fontId="35" fillId="5" borderId="9" applyNumberFormat="0" applyProtection="0">
      <alignment horizontal="left" vertical="center" indent="1"/>
    </xf>
    <xf numFmtId="0" fontId="19" fillId="5" borderId="9" applyNumberFormat="0" applyProtection="0">
      <alignment horizontal="left" vertical="center" indent="1"/>
    </xf>
    <xf numFmtId="0" fontId="19" fillId="5" borderId="9" applyNumberFormat="0" applyProtection="0">
      <alignment horizontal="left" vertical="center" indent="1"/>
    </xf>
    <xf numFmtId="0" fontId="38" fillId="5" borderId="9" applyNumberFormat="0" applyProtection="0">
      <alignment horizontal="left" vertical="center" indent="1"/>
    </xf>
    <xf numFmtId="0" fontId="19" fillId="5" borderId="9" applyNumberFormat="0" applyProtection="0">
      <alignment horizontal="left" vertical="center" indent="1"/>
    </xf>
    <xf numFmtId="0" fontId="42" fillId="5" borderId="9" applyNumberFormat="0" applyProtection="0">
      <alignment horizontal="left" vertical="center" indent="1"/>
    </xf>
    <xf numFmtId="0" fontId="19" fillId="5" borderId="9" applyNumberFormat="0" applyProtection="0">
      <alignment horizontal="left" vertical="center" indent="1"/>
    </xf>
    <xf numFmtId="0" fontId="43" fillId="5" borderId="9" applyNumberFormat="0" applyProtection="0">
      <alignment horizontal="left" vertical="center" indent="1"/>
    </xf>
    <xf numFmtId="0" fontId="19" fillId="5" borderId="9" applyNumberFormat="0" applyProtection="0">
      <alignment horizontal="left" vertical="center" indent="1"/>
    </xf>
    <xf numFmtId="0" fontId="44" fillId="5" borderId="9" applyNumberFormat="0" applyProtection="0">
      <alignment horizontal="left" vertical="center" indent="1"/>
    </xf>
    <xf numFmtId="0" fontId="3" fillId="5" borderId="9" applyNumberFormat="0" applyProtection="0">
      <alignment horizontal="left" vertical="top" indent="1"/>
    </xf>
    <xf numFmtId="0" fontId="35" fillId="5" borderId="9" applyNumberFormat="0" applyProtection="0">
      <alignment horizontal="left" vertical="top" indent="1"/>
    </xf>
    <xf numFmtId="0" fontId="19" fillId="5" borderId="9" applyNumberFormat="0" applyProtection="0">
      <alignment horizontal="left" vertical="top" indent="1"/>
    </xf>
    <xf numFmtId="0" fontId="19" fillId="5" borderId="9" applyNumberFormat="0" applyProtection="0">
      <alignment horizontal="left" vertical="top" indent="1"/>
    </xf>
    <xf numFmtId="0" fontId="38" fillId="5" borderId="9" applyNumberFormat="0" applyProtection="0">
      <alignment horizontal="left" vertical="top" indent="1"/>
    </xf>
    <xf numFmtId="0" fontId="19" fillId="5" borderId="9" applyNumberFormat="0" applyProtection="0">
      <alignment horizontal="left" vertical="top" indent="1"/>
    </xf>
    <xf numFmtId="0" fontId="42" fillId="5" borderId="9" applyNumberFormat="0" applyProtection="0">
      <alignment horizontal="left" vertical="top" indent="1"/>
    </xf>
    <xf numFmtId="0" fontId="19" fillId="5" borderId="9" applyNumberFormat="0" applyProtection="0">
      <alignment horizontal="left" vertical="top" indent="1"/>
    </xf>
    <xf numFmtId="0" fontId="43" fillId="5" borderId="9" applyNumberFormat="0" applyProtection="0">
      <alignment horizontal="left" vertical="top" indent="1"/>
    </xf>
    <xf numFmtId="0" fontId="19" fillId="5" borderId="9" applyNumberFormat="0" applyProtection="0">
      <alignment horizontal="left" vertical="top" indent="1"/>
    </xf>
    <xf numFmtId="0" fontId="44" fillId="5" borderId="9" applyNumberFormat="0" applyProtection="0">
      <alignment horizontal="left" vertical="top" indent="1"/>
    </xf>
    <xf numFmtId="0" fontId="3" fillId="35" borderId="9" applyNumberFormat="0" applyProtection="0">
      <alignment horizontal="left" vertical="center" indent="1"/>
    </xf>
    <xf numFmtId="0" fontId="35" fillId="35" borderId="9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38" fillId="35" borderId="9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42" fillId="35" borderId="9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43" fillId="35" borderId="9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44" fillId="35" borderId="9" applyNumberFormat="0" applyProtection="0">
      <alignment horizontal="left" vertical="center" indent="1"/>
    </xf>
    <xf numFmtId="0" fontId="3" fillId="35" borderId="9" applyNumberFormat="0" applyProtection="0">
      <alignment horizontal="left" vertical="top" indent="1"/>
    </xf>
    <xf numFmtId="0" fontId="35" fillId="35" borderId="9" applyNumberFormat="0" applyProtection="0">
      <alignment horizontal="left" vertical="top" indent="1"/>
    </xf>
    <xf numFmtId="0" fontId="19" fillId="35" borderId="9" applyNumberFormat="0" applyProtection="0">
      <alignment horizontal="left" vertical="top" indent="1"/>
    </xf>
    <xf numFmtId="0" fontId="19" fillId="35" borderId="9" applyNumberFormat="0" applyProtection="0">
      <alignment horizontal="left" vertical="top" indent="1"/>
    </xf>
    <xf numFmtId="0" fontId="38" fillId="35" borderId="9" applyNumberFormat="0" applyProtection="0">
      <alignment horizontal="left" vertical="top" indent="1"/>
    </xf>
    <xf numFmtId="0" fontId="19" fillId="35" borderId="9" applyNumberFormat="0" applyProtection="0">
      <alignment horizontal="left" vertical="top" indent="1"/>
    </xf>
    <xf numFmtId="0" fontId="42" fillId="35" borderId="9" applyNumberFormat="0" applyProtection="0">
      <alignment horizontal="left" vertical="top" indent="1"/>
    </xf>
    <xf numFmtId="0" fontId="19" fillId="35" borderId="9" applyNumberFormat="0" applyProtection="0">
      <alignment horizontal="left" vertical="top" indent="1"/>
    </xf>
    <xf numFmtId="0" fontId="43" fillId="35" borderId="9" applyNumberFormat="0" applyProtection="0">
      <alignment horizontal="left" vertical="top" indent="1"/>
    </xf>
    <xf numFmtId="0" fontId="19" fillId="35" borderId="9" applyNumberFormat="0" applyProtection="0">
      <alignment horizontal="left" vertical="top" indent="1"/>
    </xf>
    <xf numFmtId="0" fontId="44" fillId="35" borderId="9" applyNumberFormat="0" applyProtection="0">
      <alignment horizontal="left" vertical="top" indent="1"/>
    </xf>
    <xf numFmtId="0" fontId="3" fillId="36" borderId="11" applyNumberFormat="0">
      <protection locked="0"/>
    </xf>
    <xf numFmtId="0" fontId="35" fillId="36" borderId="11" applyNumberFormat="0">
      <protection locked="0"/>
    </xf>
    <xf numFmtId="0" fontId="19" fillId="36" borderId="11" applyNumberFormat="0">
      <protection locked="0"/>
    </xf>
    <xf numFmtId="0" fontId="19" fillId="36" borderId="11" applyNumberFormat="0">
      <protection locked="0"/>
    </xf>
    <xf numFmtId="0" fontId="38" fillId="36" borderId="11" applyNumberFormat="0">
      <protection locked="0"/>
    </xf>
    <xf numFmtId="0" fontId="19" fillId="36" borderId="11" applyNumberFormat="0">
      <protection locked="0"/>
    </xf>
    <xf numFmtId="0" fontId="42" fillId="36" borderId="11" applyNumberFormat="0">
      <protection locked="0"/>
    </xf>
    <xf numFmtId="0" fontId="19" fillId="36" borderId="11" applyNumberFormat="0">
      <protection locked="0"/>
    </xf>
    <xf numFmtId="0" fontId="43" fillId="36" borderId="11" applyNumberFormat="0">
      <protection locked="0"/>
    </xf>
    <xf numFmtId="0" fontId="19" fillId="36" borderId="11" applyNumberFormat="0">
      <protection locked="0"/>
    </xf>
    <xf numFmtId="0" fontId="44" fillId="36" borderId="11" applyNumberFormat="0">
      <protection locked="0"/>
    </xf>
    <xf numFmtId="0" fontId="29" fillId="7" borderId="12" applyBorder="0"/>
    <xf numFmtId="4" fontId="24" fillId="27" borderId="9" applyNumberFormat="0" applyProtection="0">
      <alignment vertical="center"/>
    </xf>
    <xf numFmtId="4" fontId="30" fillId="27" borderId="9" applyNumberFormat="0" applyProtection="0">
      <alignment vertical="center"/>
    </xf>
    <xf numFmtId="4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top" indent="1"/>
    </xf>
    <xf numFmtId="4" fontId="24" fillId="35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0" fontId="24" fillId="28" borderId="9" applyNumberFormat="0" applyProtection="0">
      <alignment horizontal="left" vertical="top" indent="1"/>
    </xf>
    <xf numFmtId="4" fontId="31" fillId="37" borderId="0" applyNumberFormat="0" applyProtection="0">
      <alignment horizontal="left" vertical="center" indent="1"/>
    </xf>
    <xf numFmtId="4" fontId="37" fillId="37" borderId="0" applyNumberFormat="0" applyProtection="0">
      <alignment horizontal="left" vertical="center" indent="1"/>
    </xf>
    <xf numFmtId="4" fontId="31" fillId="37" borderId="0" applyNumberFormat="0" applyProtection="0">
      <alignment horizontal="left" vertical="center" indent="1"/>
    </xf>
    <xf numFmtId="4" fontId="41" fillId="37" borderId="0" applyNumberFormat="0" applyProtection="0">
      <alignment horizontal="left" vertical="center" indent="1"/>
    </xf>
    <xf numFmtId="4" fontId="31" fillId="37" borderId="0" applyNumberFormat="0" applyProtection="0">
      <alignment horizontal="left" vertical="center" indent="1"/>
    </xf>
    <xf numFmtId="0" fontId="32" fillId="38" borderId="11"/>
    <xf numFmtId="0" fontId="5" fillId="38" borderId="11"/>
    <xf numFmtId="4" fontId="33" fillId="35" borderId="9" applyNumberFormat="0" applyProtection="0">
      <alignment horizontal="right" vertical="center"/>
    </xf>
    <xf numFmtId="0" fontId="47" fillId="0" borderId="19" applyNumberFormat="0" applyFont="0" applyFill="0" applyAlignment="0" applyProtection="0"/>
    <xf numFmtId="171" fontId="48" fillId="0" borderId="20" applyNumberFormat="0" applyProtection="0">
      <alignment horizontal="right" vertical="center"/>
    </xf>
    <xf numFmtId="171" fontId="49" fillId="41" borderId="0" applyNumberFormat="0" applyAlignment="0" applyProtection="0">
      <alignment horizontal="left" vertical="center" indent="1"/>
    </xf>
    <xf numFmtId="171" fontId="50" fillId="0" borderId="21" applyNumberFormat="0" applyProtection="0">
      <alignment horizontal="right" vertical="center"/>
    </xf>
    <xf numFmtId="0" fontId="50" fillId="42" borderId="19" applyNumberFormat="0" applyAlignment="0" applyProtection="0">
      <alignment horizontal="left" vertical="center" indent="1"/>
    </xf>
    <xf numFmtId="0" fontId="51" fillId="43" borderId="21" applyNumberFormat="0" applyAlignment="0">
      <alignment horizontal="left" vertical="center" indent="1"/>
      <protection locked="0"/>
    </xf>
    <xf numFmtId="0" fontId="51" fillId="43" borderId="21" applyNumberFormat="0" applyAlignment="0" applyProtection="0">
      <alignment horizontal="left" vertical="center" indent="1"/>
    </xf>
    <xf numFmtId="0" fontId="51" fillId="43" borderId="21" applyNumberFormat="0" applyAlignment="0">
      <alignment horizontal="left" vertical="center" indent="1"/>
      <protection locked="0"/>
    </xf>
    <xf numFmtId="0" fontId="51" fillId="43" borderId="21" applyNumberFormat="0" applyAlignment="0" applyProtection="0">
      <alignment horizontal="left" vertical="center" indent="1"/>
    </xf>
    <xf numFmtId="0" fontId="52" fillId="0" borderId="22" applyNumberFormat="0" applyFill="0" applyBorder="0" applyAlignment="0" applyProtection="0"/>
    <xf numFmtId="0" fontId="52" fillId="43" borderId="21" applyNumberFormat="0" applyAlignment="0">
      <alignment horizontal="left" vertical="center" indent="1"/>
      <protection locked="0"/>
    </xf>
    <xf numFmtId="0" fontId="52" fillId="43" borderId="21" applyNumberFormat="0" applyAlignment="0" applyProtection="0">
      <alignment horizontal="left" vertical="center" indent="1"/>
    </xf>
    <xf numFmtId="0" fontId="52" fillId="43" borderId="21" applyNumberFormat="0" applyAlignment="0">
      <alignment horizontal="left" vertical="center" indent="1"/>
      <protection locked="0"/>
    </xf>
    <xf numFmtId="0" fontId="52" fillId="43" borderId="21" applyNumberFormat="0" applyAlignment="0" applyProtection="0">
      <alignment horizontal="left" vertical="center" indent="1"/>
    </xf>
    <xf numFmtId="171" fontId="53" fillId="44" borderId="20" applyNumberFormat="0" applyBorder="0">
      <alignment horizontal="right" vertical="center"/>
      <protection locked="0"/>
    </xf>
    <xf numFmtId="171" fontId="53" fillId="44" borderId="20" applyNumberFormat="0" applyBorder="0" applyProtection="0">
      <alignment horizontal="right" vertical="center"/>
    </xf>
    <xf numFmtId="171" fontId="54" fillId="44" borderId="21" applyNumberFormat="0" applyBorder="0">
      <alignment horizontal="right" vertical="center"/>
      <protection locked="0"/>
    </xf>
    <xf numFmtId="171" fontId="54" fillId="44" borderId="21" applyNumberFormat="0" applyBorder="0" applyProtection="0">
      <alignment horizontal="right" vertical="center"/>
    </xf>
    <xf numFmtId="0" fontId="52" fillId="45" borderId="21" applyNumberFormat="0" applyAlignment="0" applyProtection="0">
      <alignment horizontal="left" vertical="center" indent="1"/>
    </xf>
    <xf numFmtId="171" fontId="54" fillId="45" borderId="21" applyNumberFormat="0" applyProtection="0">
      <alignment horizontal="right" vertical="center"/>
    </xf>
    <xf numFmtId="0" fontId="55" fillId="0" borderId="22" applyNumberFormat="0" applyBorder="0" applyAlignment="0" applyProtection="0"/>
    <xf numFmtId="0" fontId="47" fillId="0" borderId="23" applyNumberFormat="0" applyFont="0" applyFill="0" applyAlignment="0" applyProtection="0"/>
    <xf numFmtId="171" fontId="56" fillId="46" borderId="24" applyNumberFormat="0" applyBorder="0" applyAlignment="0" applyProtection="0">
      <alignment horizontal="right" vertical="center" indent="1"/>
    </xf>
    <xf numFmtId="171" fontId="57" fillId="47" borderId="24" applyNumberFormat="0" applyBorder="0" applyAlignment="0" applyProtection="0">
      <alignment horizontal="right" vertical="center" indent="1"/>
    </xf>
    <xf numFmtId="171" fontId="57" fillId="48" borderId="24" applyNumberFormat="0" applyBorder="0" applyAlignment="0" applyProtection="0">
      <alignment horizontal="right" vertical="center" indent="1"/>
    </xf>
    <xf numFmtId="171" fontId="58" fillId="49" borderId="24" applyNumberFormat="0" applyBorder="0" applyAlignment="0" applyProtection="0">
      <alignment horizontal="right" vertical="center" indent="1"/>
    </xf>
    <xf numFmtId="171" fontId="58" fillId="50" borderId="24" applyNumberFormat="0" applyBorder="0" applyAlignment="0" applyProtection="0">
      <alignment horizontal="right" vertical="center" indent="1"/>
    </xf>
    <xf numFmtId="171" fontId="58" fillId="51" borderId="24" applyNumberFormat="0" applyBorder="0" applyAlignment="0" applyProtection="0">
      <alignment horizontal="right" vertical="center" indent="1"/>
    </xf>
    <xf numFmtId="171" fontId="59" fillId="52" borderId="24" applyNumberFormat="0" applyBorder="0" applyAlignment="0" applyProtection="0">
      <alignment horizontal="right" vertical="center" indent="1"/>
    </xf>
    <xf numFmtId="171" fontId="59" fillId="53" borderId="24" applyNumberFormat="0" applyBorder="0" applyAlignment="0" applyProtection="0">
      <alignment horizontal="right" vertical="center" indent="1"/>
    </xf>
    <xf numFmtId="171" fontId="59" fillId="54" borderId="24" applyNumberFormat="0" applyBorder="0" applyAlignment="0" applyProtection="0">
      <alignment horizontal="right" vertical="center" indent="1"/>
    </xf>
    <xf numFmtId="171" fontId="48" fillId="0" borderId="20" applyNumberFormat="0" applyFill="0" applyBorder="0" applyAlignment="0" applyProtection="0">
      <alignment horizontal="right" vertical="center"/>
    </xf>
    <xf numFmtId="171" fontId="48" fillId="41" borderId="19" applyNumberFormat="0" applyAlignment="0" applyProtection="0">
      <alignment horizontal="left" vertical="center" indent="1"/>
    </xf>
    <xf numFmtId="0" fontId="51" fillId="55" borderId="19" applyNumberFormat="0" applyAlignment="0" applyProtection="0">
      <alignment horizontal="left" vertical="center" indent="1"/>
    </xf>
    <xf numFmtId="0" fontId="51" fillId="56" borderId="19" applyNumberFormat="0" applyAlignment="0" applyProtection="0">
      <alignment horizontal="left" vertical="center" indent="1"/>
    </xf>
    <xf numFmtId="0" fontId="51" fillId="57" borderId="19" applyNumberFormat="0" applyAlignment="0" applyProtection="0">
      <alignment horizontal="left" vertical="center" indent="1"/>
    </xf>
    <xf numFmtId="0" fontId="51" fillId="44" borderId="19" applyNumberFormat="0" applyAlignment="0" applyProtection="0">
      <alignment horizontal="left" vertical="center" indent="1"/>
    </xf>
    <xf numFmtId="0" fontId="51" fillId="45" borderId="21" applyNumberFormat="0" applyAlignment="0" applyProtection="0">
      <alignment horizontal="left" vertical="center" indent="1"/>
    </xf>
    <xf numFmtId="171" fontId="48" fillId="44" borderId="20" applyNumberFormat="0" applyBorder="0">
      <alignment horizontal="right" vertical="center"/>
      <protection locked="0"/>
    </xf>
    <xf numFmtId="171" fontId="48" fillId="44" borderId="20" applyNumberFormat="0" applyBorder="0" applyProtection="0">
      <alignment horizontal="right" vertical="center"/>
    </xf>
    <xf numFmtId="171" fontId="50" fillId="44" borderId="21" applyNumberFormat="0" applyBorder="0">
      <alignment horizontal="right" vertical="center"/>
      <protection locked="0"/>
    </xf>
    <xf numFmtId="171" fontId="50" fillId="44" borderId="21" applyNumberFormat="0" applyBorder="0" applyProtection="0">
      <alignment horizontal="right" vertical="center"/>
    </xf>
    <xf numFmtId="171" fontId="48" fillId="41" borderId="19" applyNumberFormat="0" applyAlignment="0" applyProtection="0">
      <alignment horizontal="left" vertical="center" indent="1"/>
    </xf>
    <xf numFmtId="0" fontId="50" fillId="42" borderId="21" applyNumberFormat="0" applyAlignment="0" applyProtection="0">
      <alignment horizontal="left" vertical="center" indent="1"/>
    </xf>
    <xf numFmtId="171" fontId="48" fillId="0" borderId="20" applyNumberFormat="0" applyFill="0" applyBorder="0" applyAlignment="0" applyProtection="0">
      <alignment horizontal="right" vertical="center"/>
    </xf>
    <xf numFmtId="0" fontId="51" fillId="45" borderId="21" applyNumberFormat="0" applyAlignment="0" applyProtection="0">
      <alignment horizontal="left" vertical="center" indent="1"/>
    </xf>
    <xf numFmtId="171" fontId="50" fillId="45" borderId="21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/>
    <xf numFmtId="0" fontId="35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4" fillId="4" borderId="8" applyNumberFormat="0" applyAlignment="0" applyProtection="0"/>
    <xf numFmtId="0" fontId="14" fillId="4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6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 applyFont="0" applyFill="0" applyBorder="0" applyAlignment="0" applyProtection="0"/>
  </cellStyleXfs>
  <cellXfs count="354">
    <xf numFmtId="0" fontId="0" fillId="0" borderId="0" xfId="0"/>
    <xf numFmtId="0" fontId="4" fillId="0" borderId="0" xfId="0" applyFont="1"/>
    <xf numFmtId="3" fontId="0" fillId="0" borderId="0" xfId="0" applyNumberFormat="1"/>
    <xf numFmtId="10" fontId="4" fillId="0" borderId="0" xfId="0" applyNumberFormat="1" applyFont="1"/>
    <xf numFmtId="10" fontId="0" fillId="0" borderId="0" xfId="0" applyNumberFormat="1"/>
    <xf numFmtId="3" fontId="0" fillId="0" borderId="0" xfId="0" applyNumberFormat="1" applyFill="1"/>
    <xf numFmtId="0" fontId="0" fillId="0" borderId="0" xfId="0" applyFill="1"/>
    <xf numFmtId="10" fontId="0" fillId="0" borderId="0" xfId="0" applyNumberFormat="1" applyFill="1"/>
    <xf numFmtId="9" fontId="0" fillId="0" borderId="0" xfId="0" applyNumberFormat="1"/>
    <xf numFmtId="0" fontId="0" fillId="39" borderId="0" xfId="0" applyFill="1"/>
    <xf numFmtId="0" fontId="0" fillId="59" borderId="0" xfId="0" applyFill="1"/>
    <xf numFmtId="3" fontId="0" fillId="59" borderId="0" xfId="0" applyNumberFormat="1" applyFill="1"/>
    <xf numFmtId="3" fontId="35" fillId="0" borderId="0" xfId="298" applyNumberFormat="1" applyFill="1"/>
    <xf numFmtId="3" fontId="35" fillId="39" borderId="0" xfId="298" applyNumberFormat="1" applyFill="1"/>
    <xf numFmtId="3" fontId="35" fillId="58" borderId="0" xfId="298" applyNumberFormat="1" applyFill="1"/>
    <xf numFmtId="0" fontId="0" fillId="0" borderId="0" xfId="0" quotePrefix="1" applyFill="1"/>
    <xf numFmtId="10" fontId="0" fillId="0" borderId="0" xfId="97" applyNumberFormat="1" applyFont="1"/>
    <xf numFmtId="3" fontId="19" fillId="0" borderId="0" xfId="300" applyNumberFormat="1" applyFill="1"/>
    <xf numFmtId="9" fontId="0" fillId="0" borderId="0" xfId="0" applyNumberFormat="1" applyFill="1"/>
    <xf numFmtId="49" fontId="0" fillId="0" borderId="0" xfId="0" applyNumberFormat="1" applyFill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0" fillId="60" borderId="0" xfId="0" applyFont="1" applyFill="1"/>
    <xf numFmtId="3" fontId="61" fillId="60" borderId="0" xfId="0" applyNumberFormat="1" applyFont="1" applyFill="1"/>
    <xf numFmtId="0" fontId="61" fillId="60" borderId="0" xfId="0" applyFont="1" applyFill="1"/>
    <xf numFmtId="3" fontId="60" fillId="60" borderId="0" xfId="0" applyNumberFormat="1" applyFont="1" applyFill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60" fillId="60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0" fillId="0" borderId="15" xfId="0" applyNumberFormat="1" applyBorder="1"/>
    <xf numFmtId="3" fontId="0" fillId="59" borderId="15" xfId="0" applyNumberFormat="1" applyFill="1" applyBorder="1"/>
    <xf numFmtId="3" fontId="0" fillId="39" borderId="15" xfId="0" applyNumberFormat="1" applyFill="1" applyBorder="1"/>
    <xf numFmtId="10" fontId="0" fillId="0" borderId="15" xfId="0" applyNumberFormat="1" applyBorder="1"/>
    <xf numFmtId="3" fontId="61" fillId="60" borderId="15" xfId="0" applyNumberFormat="1" applyFont="1" applyFill="1" applyBorder="1"/>
    <xf numFmtId="4" fontId="0" fillId="0" borderId="15" xfId="0" applyNumberFormat="1" applyBorder="1"/>
    <xf numFmtId="3" fontId="0" fillId="58" borderId="15" xfId="0" applyNumberFormat="1" applyFill="1" applyBorder="1"/>
    <xf numFmtId="4" fontId="0" fillId="58" borderId="15" xfId="0" applyNumberFormat="1" applyFill="1" applyBorder="1"/>
    <xf numFmtId="3" fontId="0" fillId="0" borderId="15" xfId="0" applyNumberFormat="1" applyFill="1" applyBorder="1"/>
    <xf numFmtId="10" fontId="0" fillId="0" borderId="15" xfId="0" applyNumberFormat="1" applyFill="1" applyBorder="1"/>
    <xf numFmtId="4" fontId="0" fillId="0" borderId="15" xfId="0" applyNumberFormat="1" applyFill="1" applyBorder="1"/>
    <xf numFmtId="0" fontId="0" fillId="0" borderId="15" xfId="0" applyBorder="1"/>
    <xf numFmtId="3" fontId="35" fillId="58" borderId="15" xfId="298" applyNumberFormat="1" applyFill="1" applyBorder="1"/>
    <xf numFmtId="3" fontId="19" fillId="39" borderId="15" xfId="303" applyNumberFormat="1" applyFill="1" applyBorder="1"/>
    <xf numFmtId="3" fontId="19" fillId="0" borderId="15" xfId="303" applyNumberFormat="1" applyFill="1" applyBorder="1"/>
    <xf numFmtId="3" fontId="19" fillId="0" borderId="15" xfId="300" applyNumberFormat="1" applyFill="1" applyBorder="1"/>
    <xf numFmtId="0" fontId="0" fillId="0" borderId="15" xfId="0" applyFill="1" applyBorder="1"/>
    <xf numFmtId="4" fontId="0" fillId="59" borderId="15" xfId="0" applyNumberFormat="1" applyFill="1" applyBorder="1"/>
    <xf numFmtId="4" fontId="35" fillId="39" borderId="15" xfId="298" applyNumberFormat="1" applyFill="1" applyBorder="1"/>
    <xf numFmtId="4" fontId="35" fillId="58" borderId="15" xfId="298" applyNumberFormat="1" applyFill="1" applyBorder="1"/>
    <xf numFmtId="3" fontId="35" fillId="0" borderId="15" xfId="298" applyNumberFormat="1" applyFill="1" applyBorder="1"/>
    <xf numFmtId="4" fontId="35" fillId="0" borderId="15" xfId="298" applyNumberFormat="1" applyFill="1" applyBorder="1"/>
    <xf numFmtId="3" fontId="4" fillId="61" borderId="0" xfId="0" applyNumberFormat="1" applyFont="1" applyFill="1" applyAlignment="1">
      <alignment horizontal="center"/>
    </xf>
    <xf numFmtId="0" fontId="0" fillId="0" borderId="14" xfId="0" applyBorder="1"/>
    <xf numFmtId="0" fontId="61" fillId="60" borderId="15" xfId="0" applyFont="1" applyFill="1" applyBorder="1"/>
    <xf numFmtId="0" fontId="4" fillId="0" borderId="15" xfId="0" applyFont="1" applyBorder="1" applyAlignment="1">
      <alignment horizontal="center"/>
    </xf>
    <xf numFmtId="4" fontId="0" fillId="0" borderId="11" xfId="0" applyNumberFormat="1" applyFill="1" applyBorder="1"/>
    <xf numFmtId="3" fontId="0" fillId="0" borderId="17" xfId="0" applyNumberFormat="1" applyFill="1" applyBorder="1"/>
    <xf numFmtId="9" fontId="0" fillId="0" borderId="17" xfId="0" applyNumberFormat="1" applyFill="1" applyBorder="1"/>
    <xf numFmtId="3" fontId="19" fillId="0" borderId="17" xfId="300" applyNumberFormat="1" applyFill="1" applyBorder="1"/>
    <xf numFmtId="3" fontId="19" fillId="0" borderId="11" xfId="303" applyNumberFormat="1" applyFill="1" applyBorder="1"/>
    <xf numFmtId="3" fontId="35" fillId="0" borderId="17" xfId="298" applyNumberFormat="1" applyFill="1" applyBorder="1"/>
    <xf numFmtId="3" fontId="0" fillId="0" borderId="11" xfId="0" applyNumberFormat="1" applyFill="1" applyBorder="1"/>
    <xf numFmtId="4" fontId="35" fillId="0" borderId="11" xfId="298" applyNumberFormat="1" applyFill="1" applyBorder="1"/>
    <xf numFmtId="0" fontId="0" fillId="0" borderId="17" xfId="0" applyFill="1" applyBorder="1"/>
    <xf numFmtId="3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/>
    <xf numFmtId="3" fontId="0" fillId="0" borderId="14" xfId="0" applyNumberFormat="1" applyFill="1" applyBorder="1"/>
    <xf numFmtId="10" fontId="4" fillId="0" borderId="16" xfId="0" applyNumberFormat="1" applyFont="1" applyFill="1" applyBorder="1"/>
    <xf numFmtId="10" fontId="0" fillId="0" borderId="17" xfId="0" applyNumberFormat="1" applyFill="1" applyBorder="1"/>
    <xf numFmtId="10" fontId="0" fillId="0" borderId="11" xfId="0" applyNumberFormat="1" applyFill="1" applyBorder="1"/>
    <xf numFmtId="3" fontId="19" fillId="0" borderId="11" xfId="300" applyNumberFormat="1" applyFill="1" applyBorder="1"/>
    <xf numFmtId="0" fontId="60" fillId="60" borderId="0" xfId="0" applyFont="1" applyFill="1" applyAlignment="1">
      <alignment horizontal="left"/>
    </xf>
    <xf numFmtId="4" fontId="0" fillId="0" borderId="0" xfId="0" applyNumberFormat="1" applyFill="1"/>
    <xf numFmtId="10" fontId="0" fillId="0" borderId="17" xfId="97" applyNumberFormat="1" applyFont="1" applyFill="1" applyBorder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3" fontId="4" fillId="40" borderId="15" xfId="0" applyNumberFormat="1" applyFont="1" applyFill="1" applyBorder="1" applyAlignment="1">
      <alignment horizontal="center"/>
    </xf>
    <xf numFmtId="3" fontId="0" fillId="40" borderId="11" xfId="0" applyNumberFormat="1" applyFill="1" applyBorder="1"/>
    <xf numFmtId="3" fontId="19" fillId="40" borderId="15" xfId="300" applyNumberFormat="1" applyFill="1" applyBorder="1"/>
    <xf numFmtId="3" fontId="0" fillId="40" borderId="15" xfId="0" applyNumberFormat="1" applyFill="1" applyBorder="1"/>
    <xf numFmtId="3" fontId="35" fillId="40" borderId="15" xfId="298" applyNumberFormat="1" applyFill="1" applyBorder="1"/>
    <xf numFmtId="4" fontId="35" fillId="40" borderId="15" xfId="298" applyNumberFormat="1" applyFill="1" applyBorder="1"/>
    <xf numFmtId="10" fontId="0" fillId="40" borderId="15" xfId="0" applyNumberFormat="1" applyFill="1" applyBorder="1"/>
    <xf numFmtId="10" fontId="0" fillId="40" borderId="11" xfId="0" applyNumberFormat="1" applyFill="1" applyBorder="1"/>
    <xf numFmtId="10" fontId="0" fillId="0" borderId="11" xfId="97" applyNumberFormat="1" applyFont="1" applyFill="1" applyBorder="1"/>
    <xf numFmtId="3" fontId="0" fillId="0" borderId="18" xfId="0" applyNumberFormat="1" applyFill="1" applyBorder="1"/>
    <xf numFmtId="3" fontId="0" fillId="0" borderId="0" xfId="0" applyNumberFormat="1" applyFill="1" applyBorder="1"/>
    <xf numFmtId="4" fontId="19" fillId="40" borderId="15" xfId="300" applyNumberFormat="1" applyFill="1" applyBorder="1"/>
    <xf numFmtId="169" fontId="0" fillId="0" borderId="0" xfId="0" applyNumberFormat="1"/>
    <xf numFmtId="170" fontId="0" fillId="0" borderId="0" xfId="0" applyNumberFormat="1"/>
    <xf numFmtId="3" fontId="4" fillId="61" borderId="15" xfId="0" applyNumberFormat="1" applyFont="1" applyFill="1" applyBorder="1" applyAlignment="1">
      <alignment horizontal="center"/>
    </xf>
    <xf numFmtId="3" fontId="44" fillId="0" borderId="15" xfId="304" applyNumberFormat="1" applyFill="1" applyBorder="1"/>
    <xf numFmtId="3" fontId="19" fillId="0" borderId="15" xfId="305" applyNumberFormat="1" applyFill="1" applyBorder="1"/>
    <xf numFmtId="4" fontId="46" fillId="0" borderId="0" xfId="301" applyNumberFormat="1"/>
    <xf numFmtId="9" fontId="0" fillId="0" borderId="0" xfId="97" applyFont="1"/>
    <xf numFmtId="3" fontId="44" fillId="0" borderId="15" xfId="304" applyNumberFormat="1" applyBorder="1"/>
    <xf numFmtId="3" fontId="63" fillId="0" borderId="15" xfId="304" applyNumberFormat="1" applyFont="1" applyBorder="1"/>
    <xf numFmtId="4" fontId="44" fillId="0" borderId="15" xfId="304" applyNumberFormat="1" applyFill="1" applyBorder="1"/>
    <xf numFmtId="2" fontId="62" fillId="0" borderId="15" xfId="305" applyNumberFormat="1" applyFont="1" applyFill="1" applyBorder="1"/>
    <xf numFmtId="3" fontId="62" fillId="0" borderId="15" xfId="305" applyNumberFormat="1" applyFont="1" applyFill="1" applyBorder="1"/>
    <xf numFmtId="3" fontId="4" fillId="40" borderId="15" xfId="0" applyNumberFormat="1" applyFont="1" applyFill="1" applyBorder="1" applyAlignment="1" applyProtection="1">
      <alignment horizontal="center"/>
      <protection locked="0"/>
    </xf>
    <xf numFmtId="3" fontId="19" fillId="40" borderId="15" xfId="300" applyNumberFormat="1" applyFill="1" applyBorder="1" applyProtection="1">
      <protection locked="0"/>
    </xf>
    <xf numFmtId="3" fontId="19" fillId="0" borderId="15" xfId="305" applyNumberFormat="1" applyBorder="1" applyProtection="1">
      <protection locked="0"/>
    </xf>
    <xf numFmtId="10" fontId="0" fillId="0" borderId="0" xfId="0" applyNumberFormat="1" applyFill="1" applyBorder="1"/>
    <xf numFmtId="4" fontId="64" fillId="0" borderId="0" xfId="0" applyNumberFormat="1" applyFont="1"/>
    <xf numFmtId="3" fontId="65" fillId="0" borderId="11" xfId="0" applyNumberFormat="1" applyFont="1" applyBorder="1"/>
    <xf numFmtId="3" fontId="65" fillId="0" borderId="15" xfId="0" applyNumberFormat="1" applyFont="1" applyBorder="1"/>
    <xf numFmtId="3" fontId="66" fillId="0" borderId="15" xfId="304" applyNumberFormat="1" applyFont="1" applyBorder="1"/>
    <xf numFmtId="3" fontId="65" fillId="0" borderId="15" xfId="0" applyNumberFormat="1" applyFont="1" applyBorder="1" applyProtection="1">
      <protection locked="0"/>
    </xf>
    <xf numFmtId="10" fontId="65" fillId="0" borderId="11" xfId="0" applyNumberFormat="1" applyFont="1" applyBorder="1"/>
    <xf numFmtId="3" fontId="19" fillId="0" borderId="15" xfId="305" applyNumberFormat="1" applyBorder="1"/>
    <xf numFmtId="3" fontId="0" fillId="0" borderId="11" xfId="0" applyNumberFormat="1" applyBorder="1"/>
    <xf numFmtId="4" fontId="0" fillId="0" borderId="11" xfId="0" applyNumberFormat="1" applyBorder="1"/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4" fontId="3" fillId="58" borderId="15" xfId="0" applyNumberFormat="1" applyFont="1" applyFill="1" applyBorder="1"/>
    <xf numFmtId="10" fontId="3" fillId="0" borderId="11" xfId="98" applyNumberFormat="1" applyFont="1" applyFill="1" applyBorder="1"/>
    <xf numFmtId="10" fontId="3" fillId="0" borderId="17" xfId="97" applyNumberFormat="1" applyFont="1" applyFill="1" applyBorder="1"/>
    <xf numFmtId="10" fontId="3" fillId="0" borderId="11" xfId="97" applyNumberFormat="1" applyFont="1" applyFill="1" applyBorder="1"/>
    <xf numFmtId="3" fontId="3" fillId="0" borderId="15" xfId="0" applyNumberFormat="1" applyFont="1" applyFill="1" applyBorder="1"/>
    <xf numFmtId="2" fontId="3" fillId="0" borderId="15" xfId="0" applyNumberFormat="1" applyFont="1" applyFill="1" applyBorder="1"/>
    <xf numFmtId="3" fontId="3" fillId="0" borderId="0" xfId="78" applyNumberFormat="1" applyFont="1"/>
    <xf numFmtId="3" fontId="3" fillId="0" borderId="15" xfId="305" applyNumberFormat="1" applyFont="1" applyFill="1" applyBorder="1"/>
    <xf numFmtId="3" fontId="3" fillId="0" borderId="15" xfId="304" applyNumberFormat="1" applyFont="1" applyBorder="1"/>
    <xf numFmtId="0" fontId="3" fillId="0" borderId="15" xfId="305" applyFont="1" applyFill="1" applyBorder="1"/>
    <xf numFmtId="3" fontId="3" fillId="0" borderId="15" xfId="0" applyNumberFormat="1" applyFont="1" applyBorder="1"/>
    <xf numFmtId="0" fontId="4" fillId="0" borderId="0" xfId="0" applyFont="1" applyFill="1" applyBorder="1"/>
    <xf numFmtId="3" fontId="0" fillId="40" borderId="0" xfId="0" applyNumberFormat="1" applyFill="1" applyBorder="1"/>
    <xf numFmtId="0" fontId="68" fillId="0" borderId="0" xfId="0" applyFont="1"/>
    <xf numFmtId="0" fontId="3" fillId="64" borderId="0" xfId="0" applyFont="1" applyFill="1"/>
    <xf numFmtId="0" fontId="70" fillId="0" borderId="0" xfId="0" applyFont="1"/>
    <xf numFmtId="0" fontId="71" fillId="0" borderId="0" xfId="0" applyFont="1"/>
    <xf numFmtId="3" fontId="72" fillId="64" borderId="15" xfId="0" applyNumberFormat="1" applyFont="1" applyFill="1" applyBorder="1" applyAlignment="1">
      <alignment horizontal="center"/>
    </xf>
    <xf numFmtId="4" fontId="0" fillId="0" borderId="0" xfId="0" applyNumberFormat="1"/>
    <xf numFmtId="4" fontId="69" fillId="0" borderId="0" xfId="0" applyNumberFormat="1" applyFont="1"/>
    <xf numFmtId="0" fontId="70" fillId="0" borderId="26" xfId="0" applyNumberFormat="1" applyFont="1" applyFill="1" applyBorder="1" applyAlignment="1">
      <alignment horizontal="center" wrapText="1"/>
    </xf>
    <xf numFmtId="0" fontId="3" fillId="0" borderId="26" xfId="0" applyFont="1" applyBorder="1"/>
    <xf numFmtId="0" fontId="3" fillId="0" borderId="27" xfId="0" applyFont="1" applyBorder="1"/>
    <xf numFmtId="9" fontId="3" fillId="64" borderId="26" xfId="97" applyFont="1" applyFill="1" applyBorder="1"/>
    <xf numFmtId="0" fontId="70" fillId="65" borderId="26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71" fillId="0" borderId="0" xfId="0" applyFont="1" applyAlignment="1">
      <alignment horizontal="center"/>
    </xf>
    <xf numFmtId="0" fontId="74" fillId="0" borderId="0" xfId="0" applyFont="1" applyAlignment="1"/>
    <xf numFmtId="0" fontId="71" fillId="0" borderId="0" xfId="0" applyFont="1" applyAlignment="1"/>
    <xf numFmtId="49" fontId="71" fillId="64" borderId="0" xfId="0" applyNumberFormat="1" applyFont="1" applyFill="1" applyAlignment="1"/>
    <xf numFmtId="0" fontId="71" fillId="64" borderId="0" xfId="0" applyFont="1" applyFill="1"/>
    <xf numFmtId="4" fontId="3" fillId="0" borderId="32" xfId="0" applyNumberFormat="1" applyFont="1" applyBorder="1"/>
    <xf numFmtId="4" fontId="0" fillId="64" borderId="0" xfId="0" applyNumberFormat="1" applyFill="1"/>
    <xf numFmtId="0" fontId="70" fillId="0" borderId="0" xfId="0" applyFont="1" applyAlignment="1">
      <alignment horizontal="center"/>
    </xf>
    <xf numFmtId="0" fontId="70" fillId="64" borderId="0" xfId="0" applyFont="1" applyFill="1"/>
    <xf numFmtId="0" fontId="71" fillId="0" borderId="0" xfId="0" applyFont="1" applyFill="1"/>
    <xf numFmtId="0" fontId="70" fillId="0" borderId="25" xfId="0" applyFont="1" applyFill="1" applyBorder="1" applyAlignment="1">
      <alignment horizontal="center"/>
    </xf>
    <xf numFmtId="0" fontId="70" fillId="0" borderId="0" xfId="0" applyFont="1" applyBorder="1"/>
    <xf numFmtId="0" fontId="71" fillId="0" borderId="0" xfId="0" applyFont="1" applyBorder="1"/>
    <xf numFmtId="0" fontId="70" fillId="64" borderId="0" xfId="0" applyFont="1" applyFill="1" applyBorder="1"/>
    <xf numFmtId="0" fontId="70" fillId="0" borderId="0" xfId="0" applyFont="1" applyFill="1" applyBorder="1"/>
    <xf numFmtId="49" fontId="71" fillId="0" borderId="0" xfId="0" applyNumberFormat="1" applyFont="1" applyFill="1" applyAlignment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0" xfId="0" applyFont="1" applyFill="1"/>
    <xf numFmtId="0" fontId="4" fillId="0" borderId="31" xfId="0" applyNumberFormat="1" applyFont="1" applyFill="1" applyBorder="1" applyAlignment="1">
      <alignment horizontal="center" wrapText="1"/>
    </xf>
    <xf numFmtId="0" fontId="3" fillId="0" borderId="25" xfId="0" applyFont="1" applyFill="1" applyBorder="1"/>
    <xf numFmtId="0" fontId="3" fillId="66" borderId="25" xfId="0" applyFont="1" applyFill="1" applyBorder="1"/>
    <xf numFmtId="9" fontId="3" fillId="67" borderId="25" xfId="97" applyFont="1" applyFill="1" applyBorder="1"/>
    <xf numFmtId="0" fontId="3" fillId="66" borderId="28" xfId="0" applyFont="1" applyFill="1" applyBorder="1"/>
    <xf numFmtId="0" fontId="71" fillId="64" borderId="0" xfId="0" applyFont="1" applyFill="1" applyBorder="1"/>
    <xf numFmtId="0" fontId="71" fillId="0" borderId="0" xfId="0" applyFont="1" applyFill="1" applyAlignment="1">
      <alignment horizontal="center"/>
    </xf>
    <xf numFmtId="3" fontId="3" fillId="64" borderId="0" xfId="0" applyNumberFormat="1" applyFont="1" applyFill="1"/>
    <xf numFmtId="3" fontId="69" fillId="0" borderId="0" xfId="0" applyNumberFormat="1" applyFont="1" applyFill="1"/>
    <xf numFmtId="4" fontId="69" fillId="0" borderId="0" xfId="0" applyNumberFormat="1" applyFont="1" applyFill="1"/>
    <xf numFmtId="9" fontId="69" fillId="0" borderId="26" xfId="97" applyFont="1" applyFill="1" applyBorder="1"/>
    <xf numFmtId="9" fontId="69" fillId="0" borderId="25" xfId="97" applyFont="1" applyFill="1" applyBorder="1"/>
    <xf numFmtId="4" fontId="3" fillId="0" borderId="26" xfId="0" applyNumberFormat="1" applyFont="1" applyBorder="1"/>
    <xf numFmtId="4" fontId="69" fillId="0" borderId="25" xfId="0" applyNumberFormat="1" applyFont="1" applyFill="1" applyBorder="1"/>
    <xf numFmtId="4" fontId="3" fillId="0" borderId="25" xfId="0" applyNumberFormat="1" applyFont="1" applyFill="1" applyBorder="1"/>
    <xf numFmtId="0" fontId="75" fillId="0" borderId="0" xfId="0" applyFont="1" applyFill="1"/>
    <xf numFmtId="4" fontId="3" fillId="64" borderId="26" xfId="0" applyNumberFormat="1" applyFont="1" applyFill="1" applyBorder="1"/>
    <xf numFmtId="4" fontId="3" fillId="67" borderId="25" xfId="0" applyNumberFormat="1" applyFont="1" applyFill="1" applyBorder="1"/>
    <xf numFmtId="4" fontId="3" fillId="0" borderId="26" xfId="0" applyNumberFormat="1" applyFont="1" applyFill="1" applyBorder="1"/>
    <xf numFmtId="4" fontId="69" fillId="0" borderId="26" xfId="0" applyNumberFormat="1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69" fillId="0" borderId="0" xfId="0" applyFont="1" applyFill="1"/>
    <xf numFmtId="0" fontId="69" fillId="0" borderId="0" xfId="0" applyFont="1" applyFill="1" applyAlignment="1">
      <alignment horizontal="center"/>
    </xf>
    <xf numFmtId="4" fontId="3" fillId="0" borderId="27" xfId="0" applyNumberFormat="1" applyFont="1" applyBorder="1"/>
    <xf numFmtId="4" fontId="3" fillId="66" borderId="25" xfId="0" applyNumberFormat="1" applyFont="1" applyFill="1" applyBorder="1"/>
    <xf numFmtId="0" fontId="76" fillId="63" borderId="0" xfId="0" applyFont="1" applyFill="1"/>
    <xf numFmtId="0" fontId="76" fillId="63" borderId="0" xfId="0" applyFont="1" applyFill="1" applyAlignment="1">
      <alignment horizontal="center"/>
    </xf>
    <xf numFmtId="0" fontId="4" fillId="63" borderId="0" xfId="0" applyFont="1" applyFill="1"/>
    <xf numFmtId="4" fontId="4" fillId="63" borderId="26" xfId="0" applyNumberFormat="1" applyFont="1" applyFill="1" applyBorder="1"/>
    <xf numFmtId="4" fontId="4" fillId="63" borderId="27" xfId="0" applyNumberFormat="1" applyFont="1" applyFill="1" applyBorder="1"/>
    <xf numFmtId="4" fontId="4" fillId="68" borderId="25" xfId="0" applyNumberFormat="1" applyFont="1" applyFill="1" applyBorder="1"/>
    <xf numFmtId="0" fontId="71" fillId="63" borderId="0" xfId="0" applyFont="1" applyFill="1" applyAlignment="1">
      <alignment horizontal="center"/>
    </xf>
    <xf numFmtId="4" fontId="4" fillId="63" borderId="0" xfId="0" applyNumberFormat="1" applyFont="1" applyFill="1"/>
    <xf numFmtId="0" fontId="70" fillId="0" borderId="0" xfId="0" applyFont="1" applyAlignment="1">
      <alignment horizontal="center" wrapText="1"/>
    </xf>
    <xf numFmtId="4" fontId="3" fillId="0" borderId="0" xfId="0" applyNumberFormat="1" applyFont="1"/>
    <xf numFmtId="4" fontId="4" fillId="63" borderId="0" xfId="0" applyNumberFormat="1" applyFont="1" applyFill="1" applyBorder="1"/>
    <xf numFmtId="0" fontId="3" fillId="0" borderId="0" xfId="0" applyFont="1" applyFill="1" applyBorder="1"/>
    <xf numFmtId="0" fontId="3" fillId="66" borderId="0" xfId="0" applyFont="1" applyFill="1" applyBorder="1"/>
    <xf numFmtId="0" fontId="70" fillId="63" borderId="0" xfId="0" applyFont="1" applyFill="1" applyBorder="1"/>
    <xf numFmtId="0" fontId="71" fillId="63" borderId="0" xfId="0" applyFont="1" applyFill="1" applyBorder="1"/>
    <xf numFmtId="9" fontId="0" fillId="63" borderId="0" xfId="97" applyFont="1" applyFill="1"/>
    <xf numFmtId="0" fontId="0" fillId="63" borderId="0" xfId="0" applyFill="1"/>
    <xf numFmtId="0" fontId="69" fillId="0" borderId="26" xfId="0" applyFont="1" applyFill="1" applyBorder="1"/>
    <xf numFmtId="0" fontId="70" fillId="65" borderId="33" xfId="0" applyNumberFormat="1" applyFont="1" applyFill="1" applyBorder="1" applyAlignment="1">
      <alignment horizontal="center" wrapText="1"/>
    </xf>
    <xf numFmtId="0" fontId="70" fillId="0" borderId="33" xfId="0" applyNumberFormat="1" applyFont="1" applyFill="1" applyBorder="1" applyAlignment="1">
      <alignment horizontal="center" wrapText="1"/>
    </xf>
    <xf numFmtId="0" fontId="3" fillId="0" borderId="33" xfId="0" applyFont="1" applyBorder="1"/>
    <xf numFmtId="4" fontId="3" fillId="64" borderId="33" xfId="0" applyNumberFormat="1" applyFont="1" applyFill="1" applyBorder="1"/>
    <xf numFmtId="9" fontId="3" fillId="64" borderId="33" xfId="97" applyFont="1" applyFill="1" applyBorder="1"/>
    <xf numFmtId="4" fontId="3" fillId="0" borderId="33" xfId="0" applyNumberFormat="1" applyFont="1" applyBorder="1"/>
    <xf numFmtId="4" fontId="69" fillId="0" borderId="33" xfId="0" applyNumberFormat="1" applyFont="1" applyFill="1" applyBorder="1"/>
    <xf numFmtId="9" fontId="69" fillId="0" borderId="33" xfId="97" applyFont="1" applyFill="1" applyBorder="1"/>
    <xf numFmtId="0" fontId="69" fillId="0" borderId="33" xfId="0" applyFont="1" applyFill="1" applyBorder="1"/>
    <xf numFmtId="0" fontId="3" fillId="0" borderId="34" xfId="0" applyFont="1" applyFill="1" applyBorder="1"/>
    <xf numFmtId="0" fontId="4" fillId="62" borderId="35" xfId="0" applyNumberFormat="1" applyFont="1" applyFill="1" applyBorder="1" applyAlignment="1">
      <alignment horizontal="center" wrapText="1"/>
    </xf>
    <xf numFmtId="0" fontId="70" fillId="65" borderId="0" xfId="0" applyNumberFormat="1" applyFont="1" applyFill="1" applyBorder="1" applyAlignment="1">
      <alignment horizontal="center" wrapText="1"/>
    </xf>
    <xf numFmtId="0" fontId="70" fillId="0" borderId="0" xfId="0" applyNumberFormat="1" applyFont="1" applyFill="1" applyBorder="1" applyAlignment="1">
      <alignment horizontal="center" wrapText="1"/>
    </xf>
    <xf numFmtId="4" fontId="3" fillId="64" borderId="0" xfId="0" applyNumberFormat="1" applyFont="1" applyFill="1" applyBorder="1"/>
    <xf numFmtId="9" fontId="3" fillId="64" borderId="0" xfId="97" applyFont="1" applyFill="1" applyBorder="1"/>
    <xf numFmtId="4" fontId="3" fillId="0" borderId="0" xfId="0" applyNumberFormat="1" applyFont="1" applyBorder="1"/>
    <xf numFmtId="4" fontId="69" fillId="0" borderId="0" xfId="0" applyNumberFormat="1" applyFont="1" applyFill="1" applyBorder="1"/>
    <xf numFmtId="9" fontId="69" fillId="0" borderId="0" xfId="97" applyFont="1" applyFill="1" applyBorder="1"/>
    <xf numFmtId="0" fontId="69" fillId="0" borderId="0" xfId="0" applyFont="1" applyFill="1" applyBorder="1"/>
    <xf numFmtId="0" fontId="3" fillId="0" borderId="36" xfId="0" applyFont="1" applyFill="1" applyBorder="1"/>
    <xf numFmtId="0" fontId="70" fillId="0" borderId="25" xfId="0" applyNumberFormat="1" applyFont="1" applyFill="1" applyBorder="1" applyAlignment="1">
      <alignment horizontal="center" wrapText="1"/>
    </xf>
    <xf numFmtId="0" fontId="3" fillId="0" borderId="25" xfId="0" applyFont="1" applyBorder="1"/>
    <xf numFmtId="4" fontId="3" fillId="64" borderId="25" xfId="0" applyNumberFormat="1" applyFont="1" applyFill="1" applyBorder="1"/>
    <xf numFmtId="9" fontId="3" fillId="64" borderId="25" xfId="97" applyFont="1" applyFill="1" applyBorder="1"/>
    <xf numFmtId="0" fontId="3" fillId="0" borderId="28" xfId="0" applyFont="1" applyFill="1" applyBorder="1"/>
    <xf numFmtId="0" fontId="4" fillId="62" borderId="37" xfId="0" applyNumberFormat="1" applyFont="1" applyFill="1" applyBorder="1" applyAlignment="1">
      <alignment horizontal="center" wrapText="1"/>
    </xf>
    <xf numFmtId="0" fontId="4" fillId="62" borderId="38" xfId="0" applyNumberFormat="1" applyFont="1" applyFill="1" applyBorder="1" applyAlignment="1">
      <alignment horizontal="center" wrapText="1"/>
    </xf>
    <xf numFmtId="0" fontId="70" fillId="69" borderId="0" xfId="0" applyNumberFormat="1" applyFont="1" applyFill="1" applyBorder="1" applyAlignment="1">
      <alignment horizontal="center" wrapText="1"/>
    </xf>
    <xf numFmtId="0" fontId="70" fillId="69" borderId="25" xfId="0" applyNumberFormat="1" applyFont="1" applyFill="1" applyBorder="1" applyAlignment="1">
      <alignment horizontal="center" wrapText="1"/>
    </xf>
    <xf numFmtId="0" fontId="4" fillId="70" borderId="31" xfId="0" applyNumberFormat="1" applyFont="1" applyFill="1" applyBorder="1" applyAlignment="1">
      <alignment horizontal="center" wrapText="1"/>
    </xf>
    <xf numFmtId="0" fontId="70" fillId="70" borderId="25" xfId="0" applyFont="1" applyFill="1" applyBorder="1" applyAlignment="1">
      <alignment horizontal="center"/>
    </xf>
    <xf numFmtId="0" fontId="70" fillId="69" borderId="39" xfId="0" applyNumberFormat="1" applyFont="1" applyFill="1" applyBorder="1" applyAlignment="1">
      <alignment horizontal="center" wrapText="1"/>
    </xf>
    <xf numFmtId="0" fontId="70" fillId="69" borderId="40" xfId="0" applyNumberFormat="1" applyFont="1" applyFill="1" applyBorder="1" applyAlignment="1">
      <alignment horizontal="center" wrapText="1"/>
    </xf>
    <xf numFmtId="3" fontId="70" fillId="0" borderId="0" xfId="0" applyNumberFormat="1" applyFont="1" applyFill="1" applyAlignment="1">
      <alignment horizontal="center"/>
    </xf>
    <xf numFmtId="4" fontId="3" fillId="0" borderId="33" xfId="0" applyNumberFormat="1" applyFont="1" applyFill="1" applyBorder="1"/>
    <xf numFmtId="0" fontId="3" fillId="0" borderId="33" xfId="0" applyFont="1" applyFill="1" applyBorder="1"/>
    <xf numFmtId="4" fontId="4" fillId="63" borderId="33" xfId="0" applyNumberFormat="1" applyFont="1" applyFill="1" applyBorder="1"/>
    <xf numFmtId="4" fontId="69" fillId="0" borderId="26" xfId="97" applyNumberFormat="1" applyFont="1" applyFill="1" applyBorder="1"/>
    <xf numFmtId="4" fontId="69" fillId="0" borderId="33" xfId="97" applyNumberFormat="1" applyFont="1" applyFill="1" applyBorder="1"/>
    <xf numFmtId="0" fontId="3" fillId="0" borderId="26" xfId="0" applyNumberFormat="1" applyFont="1" applyFill="1" applyBorder="1" applyAlignment="1">
      <alignment horizontal="center" wrapText="1"/>
    </xf>
    <xf numFmtId="0" fontId="3" fillId="0" borderId="33" xfId="0" applyNumberFormat="1" applyFont="1" applyFill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wrapText="1"/>
    </xf>
    <xf numFmtId="0" fontId="4" fillId="0" borderId="38" xfId="0" applyNumberFormat="1" applyFont="1" applyFill="1" applyBorder="1" applyAlignment="1">
      <alignment horizontal="center" wrapText="1"/>
    </xf>
    <xf numFmtId="0" fontId="70" fillId="0" borderId="39" xfId="0" applyNumberFormat="1" applyFont="1" applyFill="1" applyBorder="1" applyAlignment="1">
      <alignment horizontal="center" wrapText="1"/>
    </xf>
    <xf numFmtId="4" fontId="4" fillId="63" borderId="25" xfId="0" applyNumberFormat="1" applyFont="1" applyFill="1" applyBorder="1"/>
    <xf numFmtId="4" fontId="3" fillId="0" borderId="25" xfId="0" applyNumberFormat="1" applyFont="1" applyBorder="1"/>
    <xf numFmtId="0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/>
    <xf numFmtId="4" fontId="69" fillId="0" borderId="0" xfId="97" applyNumberFormat="1" applyFont="1" applyFill="1" applyBorder="1"/>
    <xf numFmtId="4" fontId="0" fillId="63" borderId="0" xfId="97" applyNumberFormat="1" applyFont="1" applyFill="1"/>
    <xf numFmtId="4" fontId="3" fillId="0" borderId="0" xfId="0" applyNumberFormat="1" applyFont="1" applyAlignment="1">
      <alignment horizontal="right"/>
    </xf>
    <xf numFmtId="4" fontId="3" fillId="66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 wrapText="1"/>
    </xf>
    <xf numFmtId="4" fontId="3" fillId="63" borderId="26" xfId="0" applyNumberFormat="1" applyFont="1" applyFill="1" applyBorder="1"/>
    <xf numFmtId="4" fontId="3" fillId="63" borderId="25" xfId="0" applyNumberFormat="1" applyFont="1" applyFill="1" applyBorder="1"/>
    <xf numFmtId="4" fontId="3" fillId="0" borderId="27" xfId="0" applyNumberFormat="1" applyFont="1" applyFill="1" applyBorder="1" applyAlignment="1">
      <alignment horizontal="right" wrapText="1"/>
    </xf>
    <xf numFmtId="4" fontId="3" fillId="63" borderId="27" xfId="0" applyNumberFormat="1" applyFont="1" applyFill="1" applyBorder="1"/>
    <xf numFmtId="168" fontId="4" fillId="63" borderId="26" xfId="97" applyNumberFormat="1" applyFont="1" applyFill="1" applyBorder="1"/>
    <xf numFmtId="168" fontId="4" fillId="63" borderId="27" xfId="97" applyNumberFormat="1" applyFont="1" applyFill="1" applyBorder="1"/>
    <xf numFmtId="0" fontId="70" fillId="0" borderId="26" xfId="0" applyFont="1" applyBorder="1" applyAlignment="1">
      <alignment horizontal="center" wrapText="1"/>
    </xf>
    <xf numFmtId="0" fontId="70" fillId="0" borderId="27" xfId="0" applyFont="1" applyBorder="1" applyAlignment="1">
      <alignment horizontal="center" wrapText="1"/>
    </xf>
    <xf numFmtId="4" fontId="0" fillId="0" borderId="26" xfId="0" applyNumberFormat="1" applyBorder="1"/>
    <xf numFmtId="4" fontId="0" fillId="0" borderId="27" xfId="0" applyNumberFormat="1" applyBorder="1"/>
    <xf numFmtId="4" fontId="3" fillId="0" borderId="41" xfId="0" applyNumberFormat="1" applyFont="1" applyFill="1" applyBorder="1" applyAlignment="1">
      <alignment horizontal="right" wrapText="1"/>
    </xf>
    <xf numFmtId="4" fontId="3" fillId="0" borderId="41" xfId="0" applyNumberFormat="1" applyFont="1" applyBorder="1"/>
    <xf numFmtId="4" fontId="3" fillId="63" borderId="41" xfId="0" applyNumberFormat="1" applyFont="1" applyFill="1" applyBorder="1"/>
    <xf numFmtId="168" fontId="4" fillId="63" borderId="41" xfId="97" applyNumberFormat="1" applyFont="1" applyFill="1" applyBorder="1"/>
    <xf numFmtId="0" fontId="3" fillId="0" borderId="41" xfId="0" applyFont="1" applyFill="1" applyBorder="1"/>
    <xf numFmtId="0" fontId="3" fillId="0" borderId="41" xfId="0" applyFont="1" applyBorder="1"/>
    <xf numFmtId="0" fontId="70" fillId="0" borderId="41" xfId="0" applyFont="1" applyBorder="1" applyAlignment="1">
      <alignment horizontal="center" wrapText="1"/>
    </xf>
    <xf numFmtId="4" fontId="0" fillId="0" borderId="41" xfId="0" applyNumberFormat="1" applyBorder="1"/>
    <xf numFmtId="4" fontId="4" fillId="63" borderId="41" xfId="0" applyNumberFormat="1" applyFont="1" applyFill="1" applyBorder="1"/>
    <xf numFmtId="0" fontId="3" fillId="0" borderId="42" xfId="0" applyFont="1" applyFill="1" applyBorder="1"/>
    <xf numFmtId="168" fontId="4" fillId="63" borderId="25" xfId="97" applyNumberFormat="1" applyFont="1" applyFill="1" applyBorder="1"/>
    <xf numFmtId="0" fontId="70" fillId="0" borderId="25" xfId="0" applyFont="1" applyBorder="1" applyAlignment="1">
      <alignment horizontal="center" wrapText="1"/>
    </xf>
    <xf numFmtId="4" fontId="0" fillId="0" borderId="25" xfId="0" applyNumberFormat="1" applyBorder="1"/>
    <xf numFmtId="168" fontId="3" fillId="63" borderId="26" xfId="97" applyNumberFormat="1" applyFont="1" applyFill="1" applyBorder="1"/>
    <xf numFmtId="168" fontId="3" fillId="63" borderId="27" xfId="97" applyNumberFormat="1" applyFont="1" applyFill="1" applyBorder="1"/>
    <xf numFmtId="168" fontId="3" fillId="63" borderId="41" xfId="97" applyNumberFormat="1" applyFont="1" applyFill="1" applyBorder="1"/>
    <xf numFmtId="168" fontId="3" fillId="63" borderId="25" xfId="97" applyNumberFormat="1" applyFont="1" applyFill="1" applyBorder="1"/>
    <xf numFmtId="0" fontId="71" fillId="0" borderId="0" xfId="0" applyFont="1" applyFill="1" applyBorder="1"/>
    <xf numFmtId="9" fontId="0" fillId="0" borderId="0" xfId="97" applyFont="1" applyFill="1"/>
    <xf numFmtId="168" fontId="3" fillId="0" borderId="26" xfId="97" applyNumberFormat="1" applyFont="1" applyFill="1" applyBorder="1"/>
    <xf numFmtId="168" fontId="3" fillId="0" borderId="27" xfId="97" applyNumberFormat="1" applyFont="1" applyFill="1" applyBorder="1"/>
    <xf numFmtId="168" fontId="3" fillId="0" borderId="41" xfId="97" applyNumberFormat="1" applyFont="1" applyFill="1" applyBorder="1"/>
    <xf numFmtId="168" fontId="3" fillId="0" borderId="25" xfId="97" applyNumberFormat="1" applyFont="1" applyFill="1" applyBorder="1"/>
    <xf numFmtId="4" fontId="4" fillId="63" borderId="0" xfId="97" applyNumberFormat="1" applyFont="1" applyFill="1"/>
    <xf numFmtId="4" fontId="4" fillId="63" borderId="26" xfId="97" applyNumberFormat="1" applyFont="1" applyFill="1" applyBorder="1"/>
    <xf numFmtId="4" fontId="4" fillId="63" borderId="27" xfId="97" applyNumberFormat="1" applyFont="1" applyFill="1" applyBorder="1"/>
    <xf numFmtId="4" fontId="4" fillId="63" borderId="41" xfId="97" applyNumberFormat="1" applyFont="1" applyFill="1" applyBorder="1"/>
    <xf numFmtId="4" fontId="4" fillId="63" borderId="25" xfId="97" applyNumberFormat="1" applyFont="1" applyFill="1" applyBorder="1"/>
    <xf numFmtId="4" fontId="3" fillId="0" borderId="0" xfId="329" applyNumberFormat="1" applyFont="1"/>
    <xf numFmtId="0" fontId="70" fillId="65" borderId="43" xfId="0" applyNumberFormat="1" applyFont="1" applyFill="1" applyBorder="1" applyAlignment="1">
      <alignment horizontal="center" wrapText="1"/>
    </xf>
    <xf numFmtId="0" fontId="70" fillId="65" borderId="44" xfId="0" applyNumberFormat="1" applyFont="1" applyFill="1" applyBorder="1" applyAlignment="1">
      <alignment horizontal="center" wrapText="1"/>
    </xf>
    <xf numFmtId="0" fontId="70" fillId="65" borderId="35" xfId="0" applyNumberFormat="1" applyFont="1" applyFill="1" applyBorder="1" applyAlignment="1">
      <alignment horizontal="center" wrapText="1"/>
    </xf>
    <xf numFmtId="0" fontId="70" fillId="69" borderId="31" xfId="0" applyNumberFormat="1" applyFont="1" applyFill="1" applyBorder="1" applyAlignment="1">
      <alignment horizontal="center" wrapText="1"/>
    </xf>
    <xf numFmtId="0" fontId="70" fillId="70" borderId="31" xfId="0" applyFont="1" applyFill="1" applyBorder="1" applyAlignment="1">
      <alignment horizontal="center" wrapText="1"/>
    </xf>
    <xf numFmtId="49" fontId="71" fillId="63" borderId="0" xfId="0" applyNumberFormat="1" applyFont="1" applyFill="1" applyAlignment="1"/>
    <xf numFmtId="0" fontId="70" fillId="0" borderId="0" xfId="0" applyFont="1" applyFill="1"/>
    <xf numFmtId="0" fontId="3" fillId="0" borderId="0" xfId="0" applyFont="1" applyFill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77" fillId="71" borderId="11" xfId="0" applyFont="1" applyFill="1" applyBorder="1"/>
    <xf numFmtId="0" fontId="77" fillId="72" borderId="11" xfId="0" applyFont="1" applyFill="1" applyBorder="1"/>
    <xf numFmtId="0" fontId="78" fillId="0" borderId="11" xfId="0" applyFont="1" applyBorder="1" applyAlignment="1">
      <alignment horizontal="center" vertical="center" wrapText="1"/>
    </xf>
    <xf numFmtId="0" fontId="77" fillId="59" borderId="11" xfId="0" applyFont="1" applyFill="1" applyBorder="1"/>
    <xf numFmtId="0" fontId="77" fillId="73" borderId="11" xfId="0" applyFont="1" applyFill="1" applyBorder="1"/>
    <xf numFmtId="0" fontId="77" fillId="0" borderId="45" xfId="0" applyFont="1" applyBorder="1" applyAlignment="1">
      <alignment horizontal="center" vertical="center" wrapText="1"/>
    </xf>
    <xf numFmtId="0" fontId="77" fillId="7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75" borderId="11" xfId="0" applyFill="1" applyBorder="1"/>
    <xf numFmtId="0" fontId="0" fillId="76" borderId="11" xfId="0" applyFill="1" applyBorder="1"/>
    <xf numFmtId="0" fontId="0" fillId="0" borderId="0" xfId="0" applyAlignment="1">
      <alignment horizontal="center" vertical="center"/>
    </xf>
    <xf numFmtId="0" fontId="0" fillId="76" borderId="0" xfId="0" applyFill="1"/>
    <xf numFmtId="0" fontId="79" fillId="0" borderId="0" xfId="0" applyFont="1" applyAlignment="1">
      <alignment horizontal="center" vertical="center"/>
    </xf>
    <xf numFmtId="0" fontId="78" fillId="59" borderId="11" xfId="0" applyFont="1" applyFill="1" applyBorder="1"/>
    <xf numFmtId="0" fontId="78" fillId="73" borderId="11" xfId="0" applyFont="1" applyFill="1" applyBorder="1"/>
    <xf numFmtId="0" fontId="79" fillId="0" borderId="0" xfId="0" applyFont="1"/>
    <xf numFmtId="0" fontId="77" fillId="0" borderId="11" xfId="0" applyFont="1" applyBorder="1"/>
    <xf numFmtId="0" fontId="77" fillId="76" borderId="11" xfId="0" applyFont="1" applyFill="1" applyBorder="1"/>
    <xf numFmtId="0" fontId="79" fillId="0" borderId="11" xfId="0" applyFont="1" applyBorder="1" applyAlignment="1">
      <alignment horizontal="center" vertical="center"/>
    </xf>
    <xf numFmtId="0" fontId="79" fillId="59" borderId="11" xfId="0" applyFont="1" applyFill="1" applyBorder="1"/>
    <xf numFmtId="0" fontId="79" fillId="73" borderId="11" xfId="0" applyFont="1" applyFill="1" applyBorder="1"/>
    <xf numFmtId="0" fontId="78" fillId="69" borderId="11" xfId="0" applyFont="1" applyFill="1" applyBorder="1" applyAlignment="1">
      <alignment horizontal="center" vertical="center" wrapText="1"/>
    </xf>
    <xf numFmtId="0" fontId="77" fillId="69" borderId="11" xfId="0" applyFont="1" applyFill="1" applyBorder="1"/>
    <xf numFmtId="0" fontId="0" fillId="69" borderId="0" xfId="0" applyFill="1"/>
    <xf numFmtId="0" fontId="3" fillId="64" borderId="48" xfId="0" applyFont="1" applyFill="1" applyBorder="1"/>
    <xf numFmtId="0" fontId="0" fillId="0" borderId="11" xfId="0" applyBorder="1"/>
    <xf numFmtId="4" fontId="3" fillId="0" borderId="11" xfId="0" applyNumberFormat="1" applyFont="1" applyBorder="1"/>
    <xf numFmtId="0" fontId="71" fillId="0" borderId="11" xfId="0" applyFont="1" applyBorder="1"/>
    <xf numFmtId="0" fontId="3" fillId="0" borderId="11" xfId="0" applyFont="1" applyBorder="1"/>
    <xf numFmtId="0" fontId="71" fillId="0" borderId="14" xfId="0" applyFont="1" applyBorder="1"/>
    <xf numFmtId="0" fontId="71" fillId="58" borderId="48" xfId="0" applyFont="1" applyFill="1" applyBorder="1"/>
    <xf numFmtId="4" fontId="3" fillId="58" borderId="49" xfId="0" applyNumberFormat="1" applyFont="1" applyFill="1" applyBorder="1"/>
    <xf numFmtId="0" fontId="3" fillId="0" borderId="11" xfId="0" applyFont="1" applyBorder="1" applyAlignment="1">
      <alignment horizontal="center"/>
    </xf>
    <xf numFmtId="49" fontId="71" fillId="64" borderId="0" xfId="0" applyNumberFormat="1" applyFont="1" applyFill="1" applyAlignment="1">
      <alignment horizontal="left" vertic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7" fillId="0" borderId="45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0" fontId="3" fillId="0" borderId="48" xfId="0" applyFont="1" applyBorder="1"/>
  </cellXfs>
  <cellStyles count="330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Berekening" xfId="19" xr:uid="{00000000-0005-0000-0000-000012000000}"/>
    <cellStyle name="Berekening 2" xfId="20" xr:uid="{00000000-0005-0000-0000-000013000000}"/>
    <cellStyle name="Comma 2" xfId="21" xr:uid="{00000000-0005-0000-0000-000015000000}"/>
    <cellStyle name="Controlecel" xfId="22" xr:uid="{00000000-0005-0000-0000-000016000000}"/>
    <cellStyle name="Controlecel 2" xfId="23" xr:uid="{00000000-0005-0000-0000-000017000000}"/>
    <cellStyle name="Emphasis 1" xfId="24" xr:uid="{00000000-0005-0000-0000-000018000000}"/>
    <cellStyle name="Emphasis 2" xfId="25" xr:uid="{00000000-0005-0000-0000-000019000000}"/>
    <cellStyle name="Emphasis 3" xfId="26" xr:uid="{00000000-0005-0000-0000-00001A000000}"/>
    <cellStyle name="Euro" xfId="27" xr:uid="{00000000-0005-0000-0000-00001B000000}"/>
    <cellStyle name="Euro 2" xfId="28" xr:uid="{00000000-0005-0000-0000-00001C000000}"/>
    <cellStyle name="Euro 2 2" xfId="29" xr:uid="{00000000-0005-0000-0000-00001D000000}"/>
    <cellStyle name="Euro 2 2 2" xfId="30" xr:uid="{00000000-0005-0000-0000-00001E000000}"/>
    <cellStyle name="Euro 2 3" xfId="31" xr:uid="{00000000-0005-0000-0000-00001F000000}"/>
    <cellStyle name="Euro 3" xfId="32" xr:uid="{00000000-0005-0000-0000-000020000000}"/>
    <cellStyle name="Euro 3 2" xfId="33" xr:uid="{00000000-0005-0000-0000-000021000000}"/>
    <cellStyle name="Euro 4" xfId="34" xr:uid="{00000000-0005-0000-0000-000022000000}"/>
    <cellStyle name="Euro 4 2" xfId="35" xr:uid="{00000000-0005-0000-0000-000023000000}"/>
    <cellStyle name="Euro 4 2 2" xfId="36" xr:uid="{00000000-0005-0000-0000-000024000000}"/>
    <cellStyle name="Euro 4 3" xfId="37" xr:uid="{00000000-0005-0000-0000-000025000000}"/>
    <cellStyle name="Euro 5" xfId="38" xr:uid="{00000000-0005-0000-0000-000026000000}"/>
    <cellStyle name="Euro 5 2" xfId="39" xr:uid="{00000000-0005-0000-0000-000027000000}"/>
    <cellStyle name="Euro 5 2 2" xfId="40" xr:uid="{00000000-0005-0000-0000-000028000000}"/>
    <cellStyle name="Euro 5 3" xfId="41" xr:uid="{00000000-0005-0000-0000-000029000000}"/>
    <cellStyle name="Euro 6" xfId="42" xr:uid="{00000000-0005-0000-0000-00002A000000}"/>
    <cellStyle name="Euro 6 2" xfId="43" xr:uid="{00000000-0005-0000-0000-00002B000000}"/>
    <cellStyle name="Euro 6 2 2" xfId="44" xr:uid="{00000000-0005-0000-0000-00002C000000}"/>
    <cellStyle name="Euro 6 3" xfId="45" xr:uid="{00000000-0005-0000-0000-00002D000000}"/>
    <cellStyle name="Euro 7" xfId="46" xr:uid="{00000000-0005-0000-0000-00002E000000}"/>
    <cellStyle name="Euro 8" xfId="47" xr:uid="{00000000-0005-0000-0000-00002F000000}"/>
    <cellStyle name="Gekoppelde cel" xfId="48" xr:uid="{00000000-0005-0000-0000-000030000000}"/>
    <cellStyle name="Gekoppelde cel 2" xfId="49" xr:uid="{00000000-0005-0000-0000-000031000000}"/>
    <cellStyle name="Goed" xfId="50" xr:uid="{00000000-0005-0000-0000-000032000000}"/>
    <cellStyle name="Goed 2" xfId="51" xr:uid="{00000000-0005-0000-0000-000033000000}"/>
    <cellStyle name="Invoer" xfId="52" xr:uid="{00000000-0005-0000-0000-000035000000}"/>
    <cellStyle name="Invoer 2" xfId="53" xr:uid="{00000000-0005-0000-0000-000036000000}"/>
    <cellStyle name="Komma" xfId="329" builtinId="3"/>
    <cellStyle name="Komma 2" xfId="54" xr:uid="{00000000-0005-0000-0000-000037000000}"/>
    <cellStyle name="Komma 2 2" xfId="55" xr:uid="{00000000-0005-0000-0000-000038000000}"/>
    <cellStyle name="Komma 2 2 2" xfId="56" xr:uid="{00000000-0005-0000-0000-000039000000}"/>
    <cellStyle name="Komma 2 3" xfId="57" xr:uid="{00000000-0005-0000-0000-00003A000000}"/>
    <cellStyle name="Komma 3" xfId="58" xr:uid="{00000000-0005-0000-0000-00003B000000}"/>
    <cellStyle name="Komma 3 2" xfId="59" xr:uid="{00000000-0005-0000-0000-00003C000000}"/>
    <cellStyle name="Komma 3 2 2" xfId="60" xr:uid="{00000000-0005-0000-0000-00003D000000}"/>
    <cellStyle name="Komma 3 3" xfId="61" xr:uid="{00000000-0005-0000-0000-00003E000000}"/>
    <cellStyle name="Komma 4" xfId="62" xr:uid="{00000000-0005-0000-0000-00003F000000}"/>
    <cellStyle name="Komma 4 2" xfId="63" xr:uid="{00000000-0005-0000-0000-000040000000}"/>
    <cellStyle name="Komma 4 3" xfId="64" xr:uid="{00000000-0005-0000-0000-000041000000}"/>
    <cellStyle name="Kop 1" xfId="65" xr:uid="{00000000-0005-0000-0000-000042000000}"/>
    <cellStyle name="Kop 1 2" xfId="66" xr:uid="{00000000-0005-0000-0000-000043000000}"/>
    <cellStyle name="Kop 2" xfId="67" xr:uid="{00000000-0005-0000-0000-000044000000}"/>
    <cellStyle name="Kop 2 2" xfId="68" xr:uid="{00000000-0005-0000-0000-000045000000}"/>
    <cellStyle name="Kop 3" xfId="69" xr:uid="{00000000-0005-0000-0000-000046000000}"/>
    <cellStyle name="Kop 3 2" xfId="70" xr:uid="{00000000-0005-0000-0000-000047000000}"/>
    <cellStyle name="Kop 4" xfId="71" xr:uid="{00000000-0005-0000-0000-000048000000}"/>
    <cellStyle name="Kop 4 2" xfId="72" xr:uid="{00000000-0005-0000-0000-000049000000}"/>
    <cellStyle name="Neutraal" xfId="73" xr:uid="{00000000-0005-0000-0000-00004A000000}"/>
    <cellStyle name="Neutraal 2" xfId="74" xr:uid="{00000000-0005-0000-0000-00004B000000}"/>
    <cellStyle name="Normal 2" xfId="75" xr:uid="{00000000-0005-0000-0000-00004D000000}"/>
    <cellStyle name="Normal 3" xfId="76" xr:uid="{00000000-0005-0000-0000-00004E000000}"/>
    <cellStyle name="Normal 4" xfId="77" xr:uid="{00000000-0005-0000-0000-00004F000000}"/>
    <cellStyle name="Normal 5" xfId="78" xr:uid="{00000000-0005-0000-0000-000050000000}"/>
    <cellStyle name="Notitie" xfId="79" xr:uid="{00000000-0005-0000-0000-000051000000}"/>
    <cellStyle name="Notitie 2" xfId="80" xr:uid="{00000000-0005-0000-0000-000052000000}"/>
    <cellStyle name="Notitie 2 2" xfId="81" xr:uid="{00000000-0005-0000-0000-000053000000}"/>
    <cellStyle name="Notitie 3" xfId="82" xr:uid="{00000000-0005-0000-0000-000054000000}"/>
    <cellStyle name="Notitie 3 2" xfId="83" xr:uid="{00000000-0005-0000-0000-000055000000}"/>
    <cellStyle name="Notitie 4" xfId="84" xr:uid="{00000000-0005-0000-0000-000056000000}"/>
    <cellStyle name="Notitie 5" xfId="85" xr:uid="{00000000-0005-0000-0000-000057000000}"/>
    <cellStyle name="Notitie 5 2" xfId="86" xr:uid="{00000000-0005-0000-0000-000058000000}"/>
    <cellStyle name="Notitie 6" xfId="87" xr:uid="{00000000-0005-0000-0000-000059000000}"/>
    <cellStyle name="Notitie 6 2" xfId="88" xr:uid="{00000000-0005-0000-0000-00005A000000}"/>
    <cellStyle name="Notitie 7" xfId="89" xr:uid="{00000000-0005-0000-0000-00005B000000}"/>
    <cellStyle name="Notitie 7 2" xfId="90" xr:uid="{00000000-0005-0000-0000-00005C000000}"/>
    <cellStyle name="Ongeldig" xfId="91" xr:uid="{00000000-0005-0000-0000-00005D000000}"/>
    <cellStyle name="Ongeldig 2" xfId="92" xr:uid="{00000000-0005-0000-0000-00005E000000}"/>
    <cellStyle name="Percent 2" xfId="93" xr:uid="{00000000-0005-0000-0000-000060000000}"/>
    <cellStyle name="Percent 3" xfId="94" xr:uid="{00000000-0005-0000-0000-000061000000}"/>
    <cellStyle name="Percent 4" xfId="95" xr:uid="{00000000-0005-0000-0000-000062000000}"/>
    <cellStyle name="Percent 5" xfId="96" xr:uid="{00000000-0005-0000-0000-000063000000}"/>
    <cellStyle name="Procent" xfId="97" builtinId="5"/>
    <cellStyle name="Procent 2" xfId="98" xr:uid="{00000000-0005-0000-0000-000064000000}"/>
    <cellStyle name="Procent 2 2" xfId="99" xr:uid="{00000000-0005-0000-0000-000065000000}"/>
    <cellStyle name="Procent 3" xfId="100" xr:uid="{00000000-0005-0000-0000-000066000000}"/>
    <cellStyle name="Procent 3 2" xfId="101" xr:uid="{00000000-0005-0000-0000-000067000000}"/>
    <cellStyle name="Procent 4" xfId="102" xr:uid="{00000000-0005-0000-0000-000068000000}"/>
    <cellStyle name="Procent 4 2" xfId="103" xr:uid="{00000000-0005-0000-0000-000069000000}"/>
    <cellStyle name="SAPBEXaggData" xfId="104" xr:uid="{00000000-0005-0000-0000-00006A000000}"/>
    <cellStyle name="SAPBEXaggDataEmph" xfId="105" xr:uid="{00000000-0005-0000-0000-00006B000000}"/>
    <cellStyle name="SAPBEXaggItem" xfId="106" xr:uid="{00000000-0005-0000-0000-00006C000000}"/>
    <cellStyle name="SAPBEXaggItemX" xfId="107" xr:uid="{00000000-0005-0000-0000-00006D000000}"/>
    <cellStyle name="SAPBEXchaText" xfId="108" xr:uid="{00000000-0005-0000-0000-00006E000000}"/>
    <cellStyle name="SAPBEXexcBad7" xfId="109" xr:uid="{00000000-0005-0000-0000-00006F000000}"/>
    <cellStyle name="SAPBEXexcBad8" xfId="110" xr:uid="{00000000-0005-0000-0000-000070000000}"/>
    <cellStyle name="SAPBEXexcBad9" xfId="111" xr:uid="{00000000-0005-0000-0000-000071000000}"/>
    <cellStyle name="SAPBEXexcCritical4" xfId="112" xr:uid="{00000000-0005-0000-0000-000072000000}"/>
    <cellStyle name="SAPBEXexcCritical5" xfId="113" xr:uid="{00000000-0005-0000-0000-000073000000}"/>
    <cellStyle name="SAPBEXexcCritical6" xfId="114" xr:uid="{00000000-0005-0000-0000-000074000000}"/>
    <cellStyle name="SAPBEXexcGood1" xfId="115" xr:uid="{00000000-0005-0000-0000-000075000000}"/>
    <cellStyle name="SAPBEXexcGood2" xfId="116" xr:uid="{00000000-0005-0000-0000-000076000000}"/>
    <cellStyle name="SAPBEXexcGood3" xfId="117" xr:uid="{00000000-0005-0000-0000-000077000000}"/>
    <cellStyle name="SAPBEXfilterDrill" xfId="118" xr:uid="{00000000-0005-0000-0000-000078000000}"/>
    <cellStyle name="SAPBEXfilterItem" xfId="119" xr:uid="{00000000-0005-0000-0000-000079000000}"/>
    <cellStyle name="SAPBEXfilterText" xfId="120" xr:uid="{00000000-0005-0000-0000-00007A000000}"/>
    <cellStyle name="SAPBEXfilterText 2" xfId="121" xr:uid="{00000000-0005-0000-0000-00007B000000}"/>
    <cellStyle name="SAPBEXfilterText 2 2" xfId="122" xr:uid="{00000000-0005-0000-0000-00007C000000}"/>
    <cellStyle name="SAPBEXfilterText 3" xfId="123" xr:uid="{00000000-0005-0000-0000-00007D000000}"/>
    <cellStyle name="SAPBEXfilterText 3 2" xfId="124" xr:uid="{00000000-0005-0000-0000-00007E000000}"/>
    <cellStyle name="SAPBEXformats" xfId="125" xr:uid="{00000000-0005-0000-0000-00007F000000}"/>
    <cellStyle name="SAPBEXheaderItem" xfId="126" xr:uid="{00000000-0005-0000-0000-000080000000}"/>
    <cellStyle name="SAPBEXheaderItem 2" xfId="127" xr:uid="{00000000-0005-0000-0000-000081000000}"/>
    <cellStyle name="SAPBEXheaderItem 3" xfId="128" xr:uid="{00000000-0005-0000-0000-000082000000}"/>
    <cellStyle name="SAPBEXheaderItem 3 2" xfId="129" xr:uid="{00000000-0005-0000-0000-000083000000}"/>
    <cellStyle name="SAPBEXheaderText" xfId="130" xr:uid="{00000000-0005-0000-0000-000084000000}"/>
    <cellStyle name="SAPBEXheaderText 2" xfId="131" xr:uid="{00000000-0005-0000-0000-000085000000}"/>
    <cellStyle name="SAPBEXheaderText 3" xfId="132" xr:uid="{00000000-0005-0000-0000-000086000000}"/>
    <cellStyle name="SAPBEXheaderText 3 2" xfId="133" xr:uid="{00000000-0005-0000-0000-000087000000}"/>
    <cellStyle name="SAPBEXHLevel0" xfId="134" xr:uid="{00000000-0005-0000-0000-000088000000}"/>
    <cellStyle name="SAPBEXHLevel0 2" xfId="135" xr:uid="{00000000-0005-0000-0000-000089000000}"/>
    <cellStyle name="SAPBEXHLevel0 2 2" xfId="136" xr:uid="{00000000-0005-0000-0000-00008A000000}"/>
    <cellStyle name="SAPBEXHLevel0 3" xfId="137" xr:uid="{00000000-0005-0000-0000-00008B000000}"/>
    <cellStyle name="SAPBEXHLevel0 4" xfId="138" xr:uid="{00000000-0005-0000-0000-00008C000000}"/>
    <cellStyle name="SAPBEXHLevel0 4 2" xfId="139" xr:uid="{00000000-0005-0000-0000-00008D000000}"/>
    <cellStyle name="SAPBEXHLevel0 5" xfId="140" xr:uid="{00000000-0005-0000-0000-00008E000000}"/>
    <cellStyle name="SAPBEXHLevel0 5 2" xfId="141" xr:uid="{00000000-0005-0000-0000-00008F000000}"/>
    <cellStyle name="SAPBEXHLevel0 6" xfId="142" xr:uid="{00000000-0005-0000-0000-000090000000}"/>
    <cellStyle name="SAPBEXHLevel0 6 2" xfId="143" xr:uid="{00000000-0005-0000-0000-000091000000}"/>
    <cellStyle name="SAPBEXHLevel0 7" xfId="144" xr:uid="{00000000-0005-0000-0000-000092000000}"/>
    <cellStyle name="SAPBEXHLevel0X" xfId="145" xr:uid="{00000000-0005-0000-0000-000093000000}"/>
    <cellStyle name="SAPBEXHLevel0X 2" xfId="146" xr:uid="{00000000-0005-0000-0000-000094000000}"/>
    <cellStyle name="SAPBEXHLevel0X 2 2" xfId="147" xr:uid="{00000000-0005-0000-0000-000095000000}"/>
    <cellStyle name="SAPBEXHLevel0X 3" xfId="148" xr:uid="{00000000-0005-0000-0000-000096000000}"/>
    <cellStyle name="SAPBEXHLevel0X 4" xfId="149" xr:uid="{00000000-0005-0000-0000-000097000000}"/>
    <cellStyle name="SAPBEXHLevel0X 4 2" xfId="150" xr:uid="{00000000-0005-0000-0000-000098000000}"/>
    <cellStyle name="SAPBEXHLevel0X 5" xfId="151" xr:uid="{00000000-0005-0000-0000-000099000000}"/>
    <cellStyle name="SAPBEXHLevel0X 5 2" xfId="152" xr:uid="{00000000-0005-0000-0000-00009A000000}"/>
    <cellStyle name="SAPBEXHLevel0X 6" xfId="153" xr:uid="{00000000-0005-0000-0000-00009B000000}"/>
    <cellStyle name="SAPBEXHLevel0X 6 2" xfId="154" xr:uid="{00000000-0005-0000-0000-00009C000000}"/>
    <cellStyle name="SAPBEXHLevel0X 7" xfId="155" xr:uid="{00000000-0005-0000-0000-00009D000000}"/>
    <cellStyle name="SAPBEXHLevel1" xfId="156" xr:uid="{00000000-0005-0000-0000-00009E000000}"/>
    <cellStyle name="SAPBEXHLevel1 2" xfId="157" xr:uid="{00000000-0005-0000-0000-00009F000000}"/>
    <cellStyle name="SAPBEXHLevel1 2 2" xfId="158" xr:uid="{00000000-0005-0000-0000-0000A0000000}"/>
    <cellStyle name="SAPBEXHLevel1 3" xfId="159" xr:uid="{00000000-0005-0000-0000-0000A1000000}"/>
    <cellStyle name="SAPBEXHLevel1 4" xfId="160" xr:uid="{00000000-0005-0000-0000-0000A2000000}"/>
    <cellStyle name="SAPBEXHLevel1 4 2" xfId="161" xr:uid="{00000000-0005-0000-0000-0000A3000000}"/>
    <cellStyle name="SAPBEXHLevel1 5" xfId="162" xr:uid="{00000000-0005-0000-0000-0000A4000000}"/>
    <cellStyle name="SAPBEXHLevel1 5 2" xfId="163" xr:uid="{00000000-0005-0000-0000-0000A5000000}"/>
    <cellStyle name="SAPBEXHLevel1 6" xfId="164" xr:uid="{00000000-0005-0000-0000-0000A6000000}"/>
    <cellStyle name="SAPBEXHLevel1 6 2" xfId="165" xr:uid="{00000000-0005-0000-0000-0000A7000000}"/>
    <cellStyle name="SAPBEXHLevel1 7" xfId="166" xr:uid="{00000000-0005-0000-0000-0000A8000000}"/>
    <cellStyle name="SAPBEXHLevel1X" xfId="167" xr:uid="{00000000-0005-0000-0000-0000A9000000}"/>
    <cellStyle name="SAPBEXHLevel1X 2" xfId="168" xr:uid="{00000000-0005-0000-0000-0000AA000000}"/>
    <cellStyle name="SAPBEXHLevel1X 2 2" xfId="169" xr:uid="{00000000-0005-0000-0000-0000AB000000}"/>
    <cellStyle name="SAPBEXHLevel1X 3" xfId="170" xr:uid="{00000000-0005-0000-0000-0000AC000000}"/>
    <cellStyle name="SAPBEXHLevel1X 4" xfId="171" xr:uid="{00000000-0005-0000-0000-0000AD000000}"/>
    <cellStyle name="SAPBEXHLevel1X 4 2" xfId="172" xr:uid="{00000000-0005-0000-0000-0000AE000000}"/>
    <cellStyle name="SAPBEXHLevel1X 5" xfId="173" xr:uid="{00000000-0005-0000-0000-0000AF000000}"/>
    <cellStyle name="SAPBEXHLevel1X 5 2" xfId="174" xr:uid="{00000000-0005-0000-0000-0000B0000000}"/>
    <cellStyle name="SAPBEXHLevel1X 6" xfId="175" xr:uid="{00000000-0005-0000-0000-0000B1000000}"/>
    <cellStyle name="SAPBEXHLevel1X 6 2" xfId="176" xr:uid="{00000000-0005-0000-0000-0000B2000000}"/>
    <cellStyle name="SAPBEXHLevel1X 7" xfId="177" xr:uid="{00000000-0005-0000-0000-0000B3000000}"/>
    <cellStyle name="SAPBEXHLevel2" xfId="178" xr:uid="{00000000-0005-0000-0000-0000B4000000}"/>
    <cellStyle name="SAPBEXHLevel2 2" xfId="179" xr:uid="{00000000-0005-0000-0000-0000B5000000}"/>
    <cellStyle name="SAPBEXHLevel2 2 2" xfId="180" xr:uid="{00000000-0005-0000-0000-0000B6000000}"/>
    <cellStyle name="SAPBEXHLevel2 3" xfId="181" xr:uid="{00000000-0005-0000-0000-0000B7000000}"/>
    <cellStyle name="SAPBEXHLevel2 4" xfId="182" xr:uid="{00000000-0005-0000-0000-0000B8000000}"/>
    <cellStyle name="SAPBEXHLevel2 4 2" xfId="183" xr:uid="{00000000-0005-0000-0000-0000B9000000}"/>
    <cellStyle name="SAPBEXHLevel2 5" xfId="184" xr:uid="{00000000-0005-0000-0000-0000BA000000}"/>
    <cellStyle name="SAPBEXHLevel2 5 2" xfId="185" xr:uid="{00000000-0005-0000-0000-0000BB000000}"/>
    <cellStyle name="SAPBEXHLevel2 6" xfId="186" xr:uid="{00000000-0005-0000-0000-0000BC000000}"/>
    <cellStyle name="SAPBEXHLevel2 6 2" xfId="187" xr:uid="{00000000-0005-0000-0000-0000BD000000}"/>
    <cellStyle name="SAPBEXHLevel2 7" xfId="188" xr:uid="{00000000-0005-0000-0000-0000BE000000}"/>
    <cellStyle name="SAPBEXHLevel2X" xfId="189" xr:uid="{00000000-0005-0000-0000-0000BF000000}"/>
    <cellStyle name="SAPBEXHLevel2X 2" xfId="190" xr:uid="{00000000-0005-0000-0000-0000C0000000}"/>
    <cellStyle name="SAPBEXHLevel2X 2 2" xfId="191" xr:uid="{00000000-0005-0000-0000-0000C1000000}"/>
    <cellStyle name="SAPBEXHLevel2X 3" xfId="192" xr:uid="{00000000-0005-0000-0000-0000C2000000}"/>
    <cellStyle name="SAPBEXHLevel2X 4" xfId="193" xr:uid="{00000000-0005-0000-0000-0000C3000000}"/>
    <cellStyle name="SAPBEXHLevel2X 4 2" xfId="194" xr:uid="{00000000-0005-0000-0000-0000C4000000}"/>
    <cellStyle name="SAPBEXHLevel2X 5" xfId="195" xr:uid="{00000000-0005-0000-0000-0000C5000000}"/>
    <cellStyle name="SAPBEXHLevel2X 5 2" xfId="196" xr:uid="{00000000-0005-0000-0000-0000C6000000}"/>
    <cellStyle name="SAPBEXHLevel2X 6" xfId="197" xr:uid="{00000000-0005-0000-0000-0000C7000000}"/>
    <cellStyle name="SAPBEXHLevel2X 6 2" xfId="198" xr:uid="{00000000-0005-0000-0000-0000C8000000}"/>
    <cellStyle name="SAPBEXHLevel2X 7" xfId="199" xr:uid="{00000000-0005-0000-0000-0000C9000000}"/>
    <cellStyle name="SAPBEXHLevel3" xfId="200" xr:uid="{00000000-0005-0000-0000-0000CA000000}"/>
    <cellStyle name="SAPBEXHLevel3 2" xfId="201" xr:uid="{00000000-0005-0000-0000-0000CB000000}"/>
    <cellStyle name="SAPBEXHLevel3 2 2" xfId="202" xr:uid="{00000000-0005-0000-0000-0000CC000000}"/>
    <cellStyle name="SAPBEXHLevel3 3" xfId="203" xr:uid="{00000000-0005-0000-0000-0000CD000000}"/>
    <cellStyle name="SAPBEXHLevel3 4" xfId="204" xr:uid="{00000000-0005-0000-0000-0000CE000000}"/>
    <cellStyle name="SAPBEXHLevel3 4 2" xfId="205" xr:uid="{00000000-0005-0000-0000-0000CF000000}"/>
    <cellStyle name="SAPBEXHLevel3 5" xfId="206" xr:uid="{00000000-0005-0000-0000-0000D0000000}"/>
    <cellStyle name="SAPBEXHLevel3 5 2" xfId="207" xr:uid="{00000000-0005-0000-0000-0000D1000000}"/>
    <cellStyle name="SAPBEXHLevel3 6" xfId="208" xr:uid="{00000000-0005-0000-0000-0000D2000000}"/>
    <cellStyle name="SAPBEXHLevel3 6 2" xfId="209" xr:uid="{00000000-0005-0000-0000-0000D3000000}"/>
    <cellStyle name="SAPBEXHLevel3 7" xfId="210" xr:uid="{00000000-0005-0000-0000-0000D4000000}"/>
    <cellStyle name="SAPBEXHLevel3X" xfId="211" xr:uid="{00000000-0005-0000-0000-0000D5000000}"/>
    <cellStyle name="SAPBEXHLevel3X 2" xfId="212" xr:uid="{00000000-0005-0000-0000-0000D6000000}"/>
    <cellStyle name="SAPBEXHLevel3X 2 2" xfId="213" xr:uid="{00000000-0005-0000-0000-0000D7000000}"/>
    <cellStyle name="SAPBEXHLevel3X 3" xfId="214" xr:uid="{00000000-0005-0000-0000-0000D8000000}"/>
    <cellStyle name="SAPBEXHLevel3X 4" xfId="215" xr:uid="{00000000-0005-0000-0000-0000D9000000}"/>
    <cellStyle name="SAPBEXHLevel3X 4 2" xfId="216" xr:uid="{00000000-0005-0000-0000-0000DA000000}"/>
    <cellStyle name="SAPBEXHLevel3X 5" xfId="217" xr:uid="{00000000-0005-0000-0000-0000DB000000}"/>
    <cellStyle name="SAPBEXHLevel3X 5 2" xfId="218" xr:uid="{00000000-0005-0000-0000-0000DC000000}"/>
    <cellStyle name="SAPBEXHLevel3X 6" xfId="219" xr:uid="{00000000-0005-0000-0000-0000DD000000}"/>
    <cellStyle name="SAPBEXHLevel3X 6 2" xfId="220" xr:uid="{00000000-0005-0000-0000-0000DE000000}"/>
    <cellStyle name="SAPBEXHLevel3X 7" xfId="221" xr:uid="{00000000-0005-0000-0000-0000DF000000}"/>
    <cellStyle name="SAPBEXinputData" xfId="222" xr:uid="{00000000-0005-0000-0000-0000E0000000}"/>
    <cellStyle name="SAPBEXinputData 2" xfId="223" xr:uid="{00000000-0005-0000-0000-0000E1000000}"/>
    <cellStyle name="SAPBEXinputData 2 2" xfId="224" xr:uid="{00000000-0005-0000-0000-0000E2000000}"/>
    <cellStyle name="SAPBEXinputData 3" xfId="225" xr:uid="{00000000-0005-0000-0000-0000E3000000}"/>
    <cellStyle name="SAPBEXinputData 4" xfId="226" xr:uid="{00000000-0005-0000-0000-0000E4000000}"/>
    <cellStyle name="SAPBEXinputData 4 2" xfId="227" xr:uid="{00000000-0005-0000-0000-0000E5000000}"/>
    <cellStyle name="SAPBEXinputData 5" xfId="228" xr:uid="{00000000-0005-0000-0000-0000E6000000}"/>
    <cellStyle name="SAPBEXinputData 5 2" xfId="229" xr:uid="{00000000-0005-0000-0000-0000E7000000}"/>
    <cellStyle name="SAPBEXinputData 6" xfId="230" xr:uid="{00000000-0005-0000-0000-0000E8000000}"/>
    <cellStyle name="SAPBEXinputData 6 2" xfId="231" xr:uid="{00000000-0005-0000-0000-0000E9000000}"/>
    <cellStyle name="SAPBEXinputData 7" xfId="232" xr:uid="{00000000-0005-0000-0000-0000EA000000}"/>
    <cellStyle name="SAPBEXItemHeader" xfId="233" xr:uid="{00000000-0005-0000-0000-0000EB000000}"/>
    <cellStyle name="SAPBEXresData" xfId="234" xr:uid="{00000000-0005-0000-0000-0000EC000000}"/>
    <cellStyle name="SAPBEXresDataEmph" xfId="235" xr:uid="{00000000-0005-0000-0000-0000ED000000}"/>
    <cellStyle name="SAPBEXresItem" xfId="236" xr:uid="{00000000-0005-0000-0000-0000EE000000}"/>
    <cellStyle name="SAPBEXresItemX" xfId="237" xr:uid="{00000000-0005-0000-0000-0000EF000000}"/>
    <cellStyle name="SAPBEXstdData" xfId="238" xr:uid="{00000000-0005-0000-0000-0000F0000000}"/>
    <cellStyle name="SAPBEXstdDataEmph" xfId="239" xr:uid="{00000000-0005-0000-0000-0000F1000000}"/>
    <cellStyle name="SAPBEXstdItem" xfId="240" xr:uid="{00000000-0005-0000-0000-0000F2000000}"/>
    <cellStyle name="SAPBEXstdItemX" xfId="241" xr:uid="{00000000-0005-0000-0000-0000F3000000}"/>
    <cellStyle name="SAPBEXtitle" xfId="242" xr:uid="{00000000-0005-0000-0000-0000F4000000}"/>
    <cellStyle name="SAPBEXtitle 2" xfId="243" xr:uid="{00000000-0005-0000-0000-0000F5000000}"/>
    <cellStyle name="SAPBEXtitle 2 2" xfId="244" xr:uid="{00000000-0005-0000-0000-0000F6000000}"/>
    <cellStyle name="SAPBEXtitle 3" xfId="245" xr:uid="{00000000-0005-0000-0000-0000F7000000}"/>
    <cellStyle name="SAPBEXtitle 3 2" xfId="246" xr:uid="{00000000-0005-0000-0000-0000F8000000}"/>
    <cellStyle name="SAPBEXunassignedItem" xfId="247" xr:uid="{00000000-0005-0000-0000-0000F9000000}"/>
    <cellStyle name="SAPBEXunassignedItem 2" xfId="248" xr:uid="{00000000-0005-0000-0000-0000FA000000}"/>
    <cellStyle name="SAPBEXundefined" xfId="249" xr:uid="{00000000-0005-0000-0000-0000FB000000}"/>
    <cellStyle name="SAPBorder" xfId="250" xr:uid="{00000000-0005-0000-0000-0000FC000000}"/>
    <cellStyle name="SAPDataCell" xfId="251" xr:uid="{00000000-0005-0000-0000-0000FD000000}"/>
    <cellStyle name="SAPDataRemoved" xfId="252" xr:uid="{00000000-0005-0000-0000-0000FE000000}"/>
    <cellStyle name="SAPDataTotalCell" xfId="253" xr:uid="{00000000-0005-0000-0000-0000FF000000}"/>
    <cellStyle name="SAPDimensionCell" xfId="254" xr:uid="{00000000-0005-0000-0000-000000010000}"/>
    <cellStyle name="SAPEditableDataCell" xfId="255" xr:uid="{00000000-0005-0000-0000-000001010000}"/>
    <cellStyle name="SAPEditableDataCell 2" xfId="256" xr:uid="{00000000-0005-0000-0000-000002010000}"/>
    <cellStyle name="SAPEditableDataTotalCell" xfId="257" xr:uid="{00000000-0005-0000-0000-000003010000}"/>
    <cellStyle name="SAPEditableDataTotalCell 2" xfId="258" xr:uid="{00000000-0005-0000-0000-000004010000}"/>
    <cellStyle name="SAPEmphasized" xfId="259" xr:uid="{00000000-0005-0000-0000-000005010000}"/>
    <cellStyle name="SAPEmphasizedEditableDataCell" xfId="260" xr:uid="{00000000-0005-0000-0000-000006010000}"/>
    <cellStyle name="SAPEmphasizedEditableDataCell 2" xfId="261" xr:uid="{00000000-0005-0000-0000-000007010000}"/>
    <cellStyle name="SAPEmphasizedEditableDataTotalCell" xfId="262" xr:uid="{00000000-0005-0000-0000-000008010000}"/>
    <cellStyle name="SAPEmphasizedEditableDataTotalCell 2" xfId="263" xr:uid="{00000000-0005-0000-0000-000009010000}"/>
    <cellStyle name="SAPEmphasizedLockedDataCell" xfId="264" xr:uid="{00000000-0005-0000-0000-00000A010000}"/>
    <cellStyle name="SAPEmphasizedLockedDataCell 2" xfId="265" xr:uid="{00000000-0005-0000-0000-00000B010000}"/>
    <cellStyle name="SAPEmphasizedLockedDataTotalCell" xfId="266" xr:uid="{00000000-0005-0000-0000-00000C010000}"/>
    <cellStyle name="SAPEmphasizedLockedDataTotalCell 2" xfId="267" xr:uid="{00000000-0005-0000-0000-00000D010000}"/>
    <cellStyle name="SAPEmphasizedReadonlyDataCell" xfId="268" xr:uid="{00000000-0005-0000-0000-00000E010000}"/>
    <cellStyle name="SAPEmphasizedReadonlyDataTotalCell" xfId="269" xr:uid="{00000000-0005-0000-0000-00000F010000}"/>
    <cellStyle name="SAPEmphasizedTotal" xfId="270" xr:uid="{00000000-0005-0000-0000-000010010000}"/>
    <cellStyle name="SAPError" xfId="271" xr:uid="{00000000-0005-0000-0000-000011010000}"/>
    <cellStyle name="SAPExceptionLevel1" xfId="272" xr:uid="{00000000-0005-0000-0000-000012010000}"/>
    <cellStyle name="SAPExceptionLevel2" xfId="273" xr:uid="{00000000-0005-0000-0000-000013010000}"/>
    <cellStyle name="SAPExceptionLevel3" xfId="274" xr:uid="{00000000-0005-0000-0000-000014010000}"/>
    <cellStyle name="SAPExceptionLevel4" xfId="275" xr:uid="{00000000-0005-0000-0000-000015010000}"/>
    <cellStyle name="SAPExceptionLevel5" xfId="276" xr:uid="{00000000-0005-0000-0000-000016010000}"/>
    <cellStyle name="SAPExceptionLevel6" xfId="277" xr:uid="{00000000-0005-0000-0000-000017010000}"/>
    <cellStyle name="SAPExceptionLevel7" xfId="278" xr:uid="{00000000-0005-0000-0000-000018010000}"/>
    <cellStyle name="SAPExceptionLevel8" xfId="279" xr:uid="{00000000-0005-0000-0000-000019010000}"/>
    <cellStyle name="SAPExceptionLevel9" xfId="280" xr:uid="{00000000-0005-0000-0000-00001A010000}"/>
    <cellStyle name="SAPFormula" xfId="281" xr:uid="{00000000-0005-0000-0000-00001B010000}"/>
    <cellStyle name="SAPGroupingFillCell" xfId="282" xr:uid="{00000000-0005-0000-0000-00001C010000}"/>
    <cellStyle name="SAPHierarchyCell0" xfId="283" xr:uid="{00000000-0005-0000-0000-00001D010000}"/>
    <cellStyle name="SAPHierarchyCell1" xfId="284" xr:uid="{00000000-0005-0000-0000-00001E010000}"/>
    <cellStyle name="SAPHierarchyCell2" xfId="285" xr:uid="{00000000-0005-0000-0000-00001F010000}"/>
    <cellStyle name="SAPHierarchyCell3" xfId="286" xr:uid="{00000000-0005-0000-0000-000020010000}"/>
    <cellStyle name="SAPHierarchyCell4" xfId="287" xr:uid="{00000000-0005-0000-0000-000021010000}"/>
    <cellStyle name="SAPLockedDataCell" xfId="288" xr:uid="{00000000-0005-0000-0000-000022010000}"/>
    <cellStyle name="SAPLockedDataCell 2" xfId="289" xr:uid="{00000000-0005-0000-0000-000023010000}"/>
    <cellStyle name="SAPLockedDataTotalCell" xfId="290" xr:uid="{00000000-0005-0000-0000-000024010000}"/>
    <cellStyle name="SAPLockedDataTotalCell 2" xfId="291" xr:uid="{00000000-0005-0000-0000-000025010000}"/>
    <cellStyle name="SAPMemberCell" xfId="292" xr:uid="{00000000-0005-0000-0000-000026010000}"/>
    <cellStyle name="SAPMemberTotalCell" xfId="293" xr:uid="{00000000-0005-0000-0000-000027010000}"/>
    <cellStyle name="SAPMessageText" xfId="294" xr:uid="{00000000-0005-0000-0000-000028010000}"/>
    <cellStyle name="SAPReadonlyDataCell" xfId="295" xr:uid="{00000000-0005-0000-0000-000029010000}"/>
    <cellStyle name="SAPReadonlyDataTotalCell" xfId="296" xr:uid="{00000000-0005-0000-0000-00002A010000}"/>
    <cellStyle name="Sheet Title" xfId="297" xr:uid="{00000000-0005-0000-0000-00002B010000}"/>
    <cellStyle name="Standaard" xfId="0" builtinId="0"/>
    <cellStyle name="Standaard 2" xfId="298" xr:uid="{00000000-0005-0000-0000-00002C010000}"/>
    <cellStyle name="Standaard 2 2" xfId="299" xr:uid="{00000000-0005-0000-0000-00002D010000}"/>
    <cellStyle name="Standaard 2 2 2" xfId="300" xr:uid="{00000000-0005-0000-0000-00002E010000}"/>
    <cellStyle name="Standaard 2 2 3" xfId="324" xr:uid="{BAD566CC-895A-43A7-B30F-3CE4FE932591}"/>
    <cellStyle name="Standaard 2 2 3 2" xfId="328" xr:uid="{3DBD6177-435C-4019-A051-50298A3586C1}"/>
    <cellStyle name="Standaard 2 2 4" xfId="322" xr:uid="{6BDC9F64-BE73-4B90-8E55-B59A1E3183FE}"/>
    <cellStyle name="Standaard 2 2 5" xfId="326" xr:uid="{AC3F1DDB-4748-47EE-889E-A24E581893A4}"/>
    <cellStyle name="Standaard 2 3" xfId="301" xr:uid="{00000000-0005-0000-0000-00002F010000}"/>
    <cellStyle name="Standaard 2 3 2" xfId="319" xr:uid="{5582605E-3F19-4282-A265-D72044B423A3}"/>
    <cellStyle name="Standaard 2 3 2 2" xfId="323" xr:uid="{B7631968-1DF7-4F06-80C2-0DAD8C56B559}"/>
    <cellStyle name="Standaard 2 3 2 2 2" xfId="327" xr:uid="{72D2A0F0-7093-4371-9D5D-1274720321E7}"/>
    <cellStyle name="Standaard 2 3 2 3" xfId="325" xr:uid="{6CA18509-AE4A-4672-BE27-3803D14CB67B}"/>
    <cellStyle name="Standaard 2 3 3" xfId="317" xr:uid="{104379B1-42C7-491C-BC2E-506F3BF8F429}"/>
    <cellStyle name="Standaard 2 4" xfId="302" xr:uid="{00000000-0005-0000-0000-000030010000}"/>
    <cellStyle name="Standaard 2 5" xfId="320" xr:uid="{147E123F-5E0C-41B0-AA8C-6EE9F18760C8}"/>
    <cellStyle name="Standaard 3" xfId="303" xr:uid="{00000000-0005-0000-0000-000031010000}"/>
    <cellStyle name="Standaard 3 2" xfId="318" xr:uid="{2C7409EA-AEFC-4EB5-94D0-98F54494B574}"/>
    <cellStyle name="Standaard 3 2 2" xfId="321" xr:uid="{FA2FFF2B-9819-4854-AE94-5463C05F3CD7}"/>
    <cellStyle name="Standaard 4" xfId="304" xr:uid="{00000000-0005-0000-0000-000032010000}"/>
    <cellStyle name="Standaard 4 2" xfId="305" xr:uid="{00000000-0005-0000-0000-000033010000}"/>
    <cellStyle name="Style 1" xfId="306" xr:uid="{00000000-0005-0000-0000-000034010000}"/>
    <cellStyle name="Titel" xfId="307" xr:uid="{00000000-0005-0000-0000-000035010000}"/>
    <cellStyle name="Titel 2" xfId="308" xr:uid="{00000000-0005-0000-0000-000036010000}"/>
    <cellStyle name="Totaal" xfId="309" xr:uid="{00000000-0005-0000-0000-000037010000}"/>
    <cellStyle name="Totaal 2" xfId="310" xr:uid="{00000000-0005-0000-0000-000038010000}"/>
    <cellStyle name="Uitvoer" xfId="311" xr:uid="{00000000-0005-0000-0000-000039010000}"/>
    <cellStyle name="Uitvoer 2" xfId="312" xr:uid="{00000000-0005-0000-0000-00003A010000}"/>
    <cellStyle name="Verklarende tekst" xfId="313" xr:uid="{00000000-0005-0000-0000-00003B010000}"/>
    <cellStyle name="Verklarende tekst 2" xfId="314" xr:uid="{00000000-0005-0000-0000-00003C010000}"/>
    <cellStyle name="Waarschuwingstekst" xfId="315" xr:uid="{00000000-0005-0000-0000-00003D010000}"/>
    <cellStyle name="Waarschuwingstekst 2" xfId="316" xr:uid="{00000000-0005-0000-0000-00003E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5" Type="http://schemas.openxmlformats.org/officeDocument/2006/relationships/customXml" Target="../ink/ink9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customXml" Target="../ink/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380674</xdr:colOff>
      <xdr:row>64</xdr:row>
      <xdr:rowOff>0</xdr:rowOff>
    </xdr:from>
    <xdr:to>
      <xdr:col>11</xdr:col>
      <xdr:colOff>381034</xdr:colOff>
      <xdr:row>64</xdr:row>
      <xdr:rowOff>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93F34836-8795-4400-8244-487E509ECCEF}"/>
                </a:ext>
              </a:extLst>
            </xdr14:cNvPr>
            <xdr14:cNvContentPartPr/>
          </xdr14:nvContentPartPr>
          <xdr14:nvPr macro=""/>
          <xdr14:xfrm>
            <a:off x="6258960" y="10722177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93F34836-8795-4400-8244-487E509ECC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40960" y="10614177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349714</xdr:colOff>
      <xdr:row>63</xdr:row>
      <xdr:rowOff>126237</xdr:rowOff>
    </xdr:from>
    <xdr:to>
      <xdr:col>11</xdr:col>
      <xdr:colOff>359389</xdr:colOff>
      <xdr:row>63</xdr:row>
      <xdr:rowOff>134217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A322ABCB-87B0-498A-8156-7E0885E50A36}"/>
                </a:ext>
              </a:extLst>
            </xdr14:cNvPr>
            <xdr14:cNvContentPartPr/>
          </xdr14:nvContentPartPr>
          <xdr14:nvPr macro=""/>
          <xdr14:xfrm>
            <a:off x="6228000" y="10603737"/>
            <a:ext cx="39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A322ABCB-87B0-498A-8156-7E0885E50A3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10360" y="10496097"/>
              <a:ext cx="396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997714</xdr:colOff>
      <xdr:row>63</xdr:row>
      <xdr:rowOff>90237</xdr:rowOff>
    </xdr:from>
    <xdr:to>
      <xdr:col>11</xdr:col>
      <xdr:colOff>1051054</xdr:colOff>
      <xdr:row>63</xdr:row>
      <xdr:rowOff>94737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CA4B98D4-6136-4404-97E6-42CBFE241D48}"/>
                </a:ext>
              </a:extLst>
            </xdr14:cNvPr>
            <xdr14:cNvContentPartPr/>
          </xdr14:nvContentPartPr>
          <xdr14:nvPr macro=""/>
          <xdr14:xfrm>
            <a:off x="6876000" y="10567737"/>
            <a:ext cx="45720" cy="18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CA4B98D4-6136-4404-97E6-42CBFE241D4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858360" y="10460097"/>
              <a:ext cx="81360" cy="23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72289</xdr:colOff>
      <xdr:row>64</xdr:row>
      <xdr:rowOff>0</xdr:rowOff>
    </xdr:from>
    <xdr:to>
      <xdr:col>6</xdr:col>
      <xdr:colOff>72649</xdr:colOff>
      <xdr:row>64</xdr:row>
      <xdr:rowOff>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7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30AAEE0D-64CD-4BB1-B94D-B9B276D8FEBC}"/>
                </a:ext>
              </a:extLst>
            </xdr14:cNvPr>
            <xdr14:cNvContentPartPr/>
          </xdr14:nvContentPartPr>
          <xdr14:nvPr macro=""/>
          <xdr14:xfrm>
            <a:off x="4653360" y="10794537"/>
            <a:ext cx="36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30AAEE0D-64CD-4BB1-B94D-B9B276D8FEB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635360" y="10686897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679754</xdr:colOff>
      <xdr:row>63</xdr:row>
      <xdr:rowOff>122997</xdr:rowOff>
    </xdr:from>
    <xdr:to>
      <xdr:col>5</xdr:col>
      <xdr:colOff>679394</xdr:colOff>
      <xdr:row>63</xdr:row>
      <xdr:rowOff>134577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4CD74199-92C2-47E9-8339-DB861D641307}"/>
                </a:ext>
              </a:extLst>
            </xdr14:cNvPr>
            <xdr14:cNvContentPartPr/>
          </xdr14:nvContentPartPr>
          <xdr14:nvPr macro=""/>
          <xdr14:xfrm>
            <a:off x="4145040" y="10600497"/>
            <a:ext cx="360" cy="396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4CD74199-92C2-47E9-8339-DB861D64130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127400" y="10492497"/>
              <a:ext cx="36000" cy="219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0</xdr:colOff>
      <xdr:row>66</xdr:row>
      <xdr:rowOff>37811</xdr:rowOff>
    </xdr:from>
    <xdr:to>
      <xdr:col>14</xdr:col>
      <xdr:colOff>360</xdr:colOff>
      <xdr:row>66</xdr:row>
      <xdr:rowOff>54896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CFF9146A-E31C-45E7-B690-92FE39975EF7}"/>
                </a:ext>
              </a:extLst>
            </xdr14:cNvPr>
            <xdr14:cNvContentPartPr/>
          </xdr14:nvContentPartPr>
          <xdr14:nvPr macro=""/>
          <xdr14:xfrm>
            <a:off x="9325080" y="12647097"/>
            <a:ext cx="360" cy="75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CFF9146A-E31C-45E7-B690-92FE39975EF7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307440" y="12539457"/>
              <a:ext cx="36000" cy="2232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380674</xdr:colOff>
      <xdr:row>69</xdr:row>
      <xdr:rowOff>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BF64AD2-4C23-41BD-A4E8-F1D8EE160992}"/>
                </a:ext>
              </a:extLst>
            </xdr14:cNvPr>
            <xdr14:cNvContentPartPr/>
          </xdr14:nvContentPartPr>
          <xdr14:nvPr macro=""/>
          <xdr14:xfrm>
            <a:off x="6258960" y="10722177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93F34836-8795-4400-8244-487E509ECC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40960" y="10614177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72289</xdr:colOff>
      <xdr:row>69</xdr:row>
      <xdr:rowOff>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7B3421EC-B58A-462B-9BF0-668B6C4E913B}"/>
                </a:ext>
              </a:extLst>
            </xdr14:cNvPr>
            <xdr14:cNvContentPartPr/>
          </xdr14:nvContentPartPr>
          <xdr14:nvPr macro=""/>
          <xdr14:xfrm>
            <a:off x="4653360" y="10794537"/>
            <a:ext cx="36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30AAEE0D-64CD-4BB1-B94D-B9B276D8FEB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635360" y="10686897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71</xdr:row>
      <xdr:rowOff>37811</xdr:rowOff>
    </xdr:from>
    <xdr:ext cx="360" cy="75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B99187BA-EAC4-40AB-8C9F-7F163A5BDC52}"/>
                </a:ext>
              </a:extLst>
            </xdr14:cNvPr>
            <xdr14:cNvContentPartPr/>
          </xdr14:nvContentPartPr>
          <xdr14:nvPr macro=""/>
          <xdr14:xfrm>
            <a:off x="9325080" y="12647097"/>
            <a:ext cx="360" cy="75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CFF9146A-E31C-45E7-B690-92FE39975EF7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307440" y="12539457"/>
              <a:ext cx="36000" cy="2232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1:59.66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2:00.100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11 1,'-5'0,"0"0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1:58.89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126 1,'0'0</inkml:trace>
  <inkml:trace contextRef="#ctx0" brushRef="#br0" timeOffset="376.33">1 51,'0'0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2:02.07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2:02.43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10,'0'-4,"0"-2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2-22T22:42:04.36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20,'0'-8,"0"-3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1-31T09:06:53.11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1-31T09:06:53.11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1-31T09:06:53.11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20,'0'-8,"0"-3</inkml:trace>
</inkml:ink>
</file>

<file path=xl/theme/theme1.xml><?xml version="1.0" encoding="utf-8"?>
<a:theme xmlns:a="http://schemas.openxmlformats.org/drawingml/2006/main" name="Kantoorthema">
  <a:themeElements>
    <a:clrScheme name="Concours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913A-B19C-4585-B316-625A81D7CCD0}">
  <sheetPr>
    <pageSetUpPr fitToPage="1"/>
  </sheetPr>
  <dimension ref="A1:P90"/>
  <sheetViews>
    <sheetView showGridLines="0" tabSelected="1" zoomScale="70" zoomScaleNormal="70" workbookViewId="0"/>
  </sheetViews>
  <sheetFormatPr defaultColWidth="8.77734375" defaultRowHeight="13.2" x14ac:dyDescent="0.25"/>
  <cols>
    <col min="1" max="1" width="2.77734375" style="130" customWidth="1"/>
    <col min="2" max="2" width="2.77734375" style="1" customWidth="1"/>
    <col min="3" max="3" width="2.77734375" style="132" customWidth="1"/>
    <col min="4" max="4" width="35.88671875" style="133" bestFit="1" customWidth="1"/>
    <col min="5" max="5" width="5.44140625" style="143" customWidth="1"/>
    <col min="6" max="6" width="15.88671875" style="116" customWidth="1"/>
    <col min="7" max="7" width="2.6640625" customWidth="1"/>
    <col min="8" max="14" width="16" style="116" customWidth="1"/>
    <col min="15" max="15" width="2.77734375" customWidth="1"/>
    <col min="16" max="16" width="88.5546875" style="145" bestFit="1" customWidth="1"/>
    <col min="17" max="16384" width="8.77734375" style="116"/>
  </cols>
  <sheetData>
    <row r="1" spans="1:16" ht="13.8" thickBot="1" x14ac:dyDescent="0.3"/>
    <row r="2" spans="1:16" ht="13.8" thickBot="1" x14ac:dyDescent="0.3">
      <c r="A2" s="130" t="s">
        <v>60</v>
      </c>
      <c r="F2" s="334"/>
    </row>
    <row r="4" spans="1:16" x14ac:dyDescent="0.25">
      <c r="A4" s="130" t="s">
        <v>73</v>
      </c>
    </row>
    <row r="5" spans="1:16" x14ac:dyDescent="0.25">
      <c r="C5" s="132" t="s">
        <v>69</v>
      </c>
      <c r="F5" s="150" t="s">
        <v>103</v>
      </c>
      <c r="H5" s="144" t="s">
        <v>68</v>
      </c>
      <c r="I5" s="144"/>
      <c r="J5" s="144"/>
      <c r="K5" s="144"/>
    </row>
    <row r="6" spans="1:16" x14ac:dyDescent="0.25">
      <c r="D6" s="133" t="s">
        <v>56</v>
      </c>
      <c r="E6" s="143" t="s">
        <v>67</v>
      </c>
      <c r="F6" s="169"/>
      <c r="H6" s="146"/>
      <c r="I6" s="146"/>
      <c r="J6" s="146"/>
      <c r="K6" s="146"/>
      <c r="L6" s="131"/>
      <c r="M6" s="131"/>
    </row>
    <row r="7" spans="1:16" x14ac:dyDescent="0.25">
      <c r="D7" s="133" t="s">
        <v>57</v>
      </c>
      <c r="E7" s="143" t="s">
        <v>67</v>
      </c>
      <c r="F7" s="169"/>
      <c r="H7" s="146"/>
      <c r="I7" s="146"/>
      <c r="J7" s="146"/>
      <c r="K7" s="146"/>
      <c r="L7" s="131"/>
      <c r="M7" s="131"/>
    </row>
    <row r="8" spans="1:16" x14ac:dyDescent="0.25">
      <c r="D8" s="133" t="s">
        <v>108</v>
      </c>
      <c r="E8" s="143" t="s">
        <v>67</v>
      </c>
      <c r="F8" s="169"/>
      <c r="G8" s="113"/>
      <c r="H8" s="146"/>
      <c r="I8" s="146"/>
      <c r="J8" s="146"/>
      <c r="K8" s="146"/>
      <c r="L8" s="131"/>
      <c r="M8" s="131"/>
      <c r="O8" s="113"/>
    </row>
    <row r="9" spans="1:16" x14ac:dyDescent="0.25">
      <c r="D9" s="133" t="s">
        <v>104</v>
      </c>
      <c r="E9" s="143" t="s">
        <v>67</v>
      </c>
      <c r="F9" s="169"/>
      <c r="H9" s="146"/>
      <c r="I9" s="146"/>
      <c r="J9" s="146"/>
      <c r="K9" s="146"/>
      <c r="L9" s="131"/>
      <c r="M9" s="131"/>
    </row>
    <row r="10" spans="1:16" x14ac:dyDescent="0.25">
      <c r="P10" s="116"/>
    </row>
    <row r="11" spans="1:16" x14ac:dyDescent="0.25">
      <c r="A11" s="130" t="s">
        <v>191</v>
      </c>
      <c r="C11" s="306"/>
      <c r="D11" s="152"/>
    </row>
    <row r="12" spans="1:16" x14ac:dyDescent="0.25">
      <c r="C12" s="132" t="str">
        <f>PROPER('Inningsbijdr - detail'!A287)</f>
        <v>Actual 2020</v>
      </c>
      <c r="F12" s="133"/>
      <c r="H12" s="144" t="s">
        <v>68</v>
      </c>
      <c r="I12" s="144"/>
      <c r="J12" s="144"/>
      <c r="K12" s="144"/>
    </row>
    <row r="13" spans="1:16" x14ac:dyDescent="0.25">
      <c r="D13" s="133" t="str">
        <f>'Inningsbijdr - detail'!A299</f>
        <v>- Personeel</v>
      </c>
      <c r="E13" s="143" t="s">
        <v>65</v>
      </c>
      <c r="F13" s="136" t="e">
        <f>HLOOKUP($F$2,'Inningsbijdr - detail'!$A$288:$L$309,12,FALSE)</f>
        <v>#N/A</v>
      </c>
      <c r="H13" s="146"/>
      <c r="I13" s="146"/>
      <c r="J13" s="146"/>
      <c r="K13" s="146"/>
      <c r="L13" s="131"/>
      <c r="M13" s="131"/>
    </row>
    <row r="14" spans="1:16" x14ac:dyDescent="0.25">
      <c r="D14" s="133" t="str">
        <f>'Inningsbijdr - detail'!A300</f>
        <v>- Diensten derden, materialen en energie</v>
      </c>
      <c r="E14" s="143" t="s">
        <v>65</v>
      </c>
      <c r="F14" s="136" t="e">
        <f>HLOOKUP($F$2,'Inningsbijdr - detail'!$A$288:$L$309,13,FALSE)</f>
        <v>#N/A</v>
      </c>
      <c r="H14" s="146"/>
      <c r="I14" s="146"/>
      <c r="J14" s="146"/>
      <c r="K14" s="146"/>
      <c r="L14" s="131"/>
      <c r="M14" s="131"/>
    </row>
    <row r="15" spans="1:16" x14ac:dyDescent="0.25">
      <c r="D15" s="133" t="str">
        <f>'Inningsbijdr - detail'!A301</f>
        <v>- Oninbaar + waardeverminderingen</v>
      </c>
      <c r="E15" s="143" t="s">
        <v>65</v>
      </c>
      <c r="F15" s="136" t="e">
        <f>HLOOKUP($F$2,'Inningsbijdr - detail'!$A$288:$L$309,14,FALSE)</f>
        <v>#N/A</v>
      </c>
      <c r="H15" s="146"/>
      <c r="I15" s="146"/>
      <c r="J15" s="146"/>
      <c r="K15" s="146"/>
      <c r="L15" s="131"/>
      <c r="M15" s="131"/>
    </row>
    <row r="16" spans="1:16" x14ac:dyDescent="0.25">
      <c r="D16" s="133" t="str">
        <f>'Inningsbijdr - detail'!A302</f>
        <v>- Overige kosten en voorzieningen</v>
      </c>
      <c r="E16" s="143" t="s">
        <v>65</v>
      </c>
      <c r="F16" s="136" t="e">
        <f>HLOOKUP($F$2,'Inningsbijdr - detail'!$A$288:$L$309,15,FALSE)</f>
        <v>#N/A</v>
      </c>
      <c r="H16" s="146"/>
      <c r="I16" s="146"/>
      <c r="J16" s="146"/>
      <c r="K16" s="146"/>
      <c r="L16" s="131"/>
      <c r="M16" s="131"/>
    </row>
    <row r="17" spans="1:16" x14ac:dyDescent="0.25">
      <c r="D17" s="133" t="str">
        <f>'Inningsbijdr - detail'!A303</f>
        <v xml:space="preserve">- Gerecupereerde kosten </v>
      </c>
      <c r="E17" s="143" t="s">
        <v>65</v>
      </c>
      <c r="F17" s="136" t="e">
        <f>HLOOKUP($F$2,'Inningsbijdr - detail'!$A$288:$L$309,16,FALSE)</f>
        <v>#N/A</v>
      </c>
      <c r="H17" s="146"/>
      <c r="I17" s="146"/>
      <c r="J17" s="146"/>
      <c r="K17" s="146"/>
      <c r="L17" s="131"/>
      <c r="M17" s="131"/>
    </row>
    <row r="18" spans="1:16" ht="13.8" thickBot="1" x14ac:dyDescent="0.3">
      <c r="D18" s="133" t="s">
        <v>14</v>
      </c>
      <c r="E18" s="143" t="s">
        <v>65</v>
      </c>
      <c r="F18" s="148" t="e">
        <f>SUM(F13:F17)</f>
        <v>#N/A</v>
      </c>
    </row>
    <row r="20" spans="1:16" x14ac:dyDescent="0.25">
      <c r="A20" s="130" t="s">
        <v>63</v>
      </c>
      <c r="P20" s="144" t="s">
        <v>68</v>
      </c>
    </row>
    <row r="21" spans="1:16" ht="26.4" x14ac:dyDescent="0.25">
      <c r="F21"/>
      <c r="H21" s="231" t="s">
        <v>64</v>
      </c>
      <c r="I21" s="216"/>
      <c r="J21" s="216"/>
      <c r="K21" s="216"/>
      <c r="L21" s="216"/>
      <c r="M21" s="232"/>
      <c r="N21" s="235" t="s">
        <v>83</v>
      </c>
      <c r="P21" s="343" t="s">
        <v>113</v>
      </c>
    </row>
    <row r="22" spans="1:16" ht="26.4" x14ac:dyDescent="0.25">
      <c r="F22"/>
      <c r="H22" s="237" t="s">
        <v>84</v>
      </c>
      <c r="I22" s="233"/>
      <c r="J22" s="233"/>
      <c r="K22" s="238"/>
      <c r="L22" s="234" t="s">
        <v>85</v>
      </c>
      <c r="M22" s="234" t="s">
        <v>54</v>
      </c>
      <c r="N22" s="236"/>
      <c r="P22" s="343"/>
    </row>
    <row r="23" spans="1:16" x14ac:dyDescent="0.25">
      <c r="F23" s="113"/>
      <c r="G23" s="113"/>
      <c r="H23" s="141" t="str">
        <f>D6</f>
        <v>1ste herinnering</v>
      </c>
      <c r="I23" s="206" t="str">
        <f>D7</f>
        <v>2de herinnering</v>
      </c>
      <c r="J23" s="206" t="str">
        <f>D8</f>
        <v>Incasso</v>
      </c>
      <c r="K23" s="217" t="str">
        <f>D9</f>
        <v>Ingebrekestelling</v>
      </c>
      <c r="L23" s="234"/>
      <c r="M23" s="234"/>
      <c r="N23" s="236"/>
      <c r="O23" s="113"/>
      <c r="P23" s="343"/>
    </row>
    <row r="24" spans="1:16" x14ac:dyDescent="0.25">
      <c r="B24" s="1" t="s">
        <v>51</v>
      </c>
      <c r="F24" s="150" t="s">
        <v>14</v>
      </c>
      <c r="H24" s="137"/>
      <c r="I24" s="207"/>
      <c r="J24" s="207"/>
      <c r="K24" s="218"/>
      <c r="L24" s="226"/>
      <c r="M24" s="226"/>
      <c r="N24" s="164"/>
      <c r="P24"/>
    </row>
    <row r="25" spans="1:16" x14ac:dyDescent="0.25">
      <c r="C25" s="132" t="s">
        <v>77</v>
      </c>
      <c r="F25" s="150"/>
      <c r="H25" s="138"/>
      <c r="I25" s="208"/>
      <c r="J25" s="208"/>
      <c r="K25" s="142"/>
      <c r="L25" s="227"/>
      <c r="M25" s="227"/>
      <c r="N25" s="164"/>
    </row>
    <row r="26" spans="1:16" x14ac:dyDescent="0.25">
      <c r="D26" s="133" t="s">
        <v>79</v>
      </c>
      <c r="F26" s="149"/>
      <c r="G26" s="113"/>
      <c r="H26" s="138"/>
      <c r="I26" s="208"/>
      <c r="J26" s="208"/>
      <c r="K26" s="142"/>
      <c r="L26" s="227"/>
      <c r="M26" s="227"/>
      <c r="N26" s="164"/>
      <c r="O26" s="113"/>
      <c r="P26" s="144" t="s">
        <v>68</v>
      </c>
    </row>
    <row r="27" spans="1:16" x14ac:dyDescent="0.25">
      <c r="D27" s="133" t="s">
        <v>78</v>
      </c>
      <c r="E27" s="143" t="s">
        <v>65</v>
      </c>
      <c r="F27" s="135">
        <f>SUM(H27:N27)</f>
        <v>0</v>
      </c>
      <c r="H27" s="178"/>
      <c r="I27" s="209"/>
      <c r="J27" s="209"/>
      <c r="K27" s="219"/>
      <c r="L27" s="228"/>
      <c r="M27" s="228"/>
      <c r="N27" s="179"/>
      <c r="P27" s="146" t="s">
        <v>88</v>
      </c>
    </row>
    <row r="28" spans="1:16" x14ac:dyDescent="0.25">
      <c r="D28" s="133" t="s">
        <v>82</v>
      </c>
      <c r="E28" s="143" t="s">
        <v>66</v>
      </c>
      <c r="F28" s="94">
        <f>SUM(H28:N28)</f>
        <v>0</v>
      </c>
      <c r="H28" s="140"/>
      <c r="I28" s="210"/>
      <c r="J28" s="210"/>
      <c r="K28" s="220"/>
      <c r="L28" s="229"/>
      <c r="M28" s="229"/>
      <c r="N28" s="165"/>
      <c r="P28" s="146" t="s">
        <v>81</v>
      </c>
    </row>
    <row r="29" spans="1:16" x14ac:dyDescent="0.25">
      <c r="C29" s="151" t="s">
        <v>90</v>
      </c>
      <c r="D29" s="147"/>
      <c r="F29" s="150"/>
      <c r="G29" s="113"/>
      <c r="H29" s="138"/>
      <c r="I29" s="208"/>
      <c r="J29" s="208"/>
      <c r="K29" s="142"/>
      <c r="L29" s="227"/>
      <c r="M29" s="227"/>
      <c r="N29" s="164"/>
      <c r="O29" s="113"/>
    </row>
    <row r="30" spans="1:16" x14ac:dyDescent="0.25">
      <c r="D30" s="152" t="s">
        <v>79</v>
      </c>
      <c r="F30" s="149"/>
      <c r="G30" s="113"/>
      <c r="H30" s="138"/>
      <c r="I30" s="208"/>
      <c r="J30" s="208"/>
      <c r="K30" s="142"/>
      <c r="L30" s="227"/>
      <c r="M30" s="227"/>
      <c r="N30" s="164"/>
      <c r="O30" s="113"/>
      <c r="P30" s="144" t="s">
        <v>68</v>
      </c>
    </row>
    <row r="31" spans="1:16" x14ac:dyDescent="0.25">
      <c r="D31" s="133" t="s">
        <v>78</v>
      </c>
      <c r="E31" s="143" t="s">
        <v>65</v>
      </c>
      <c r="F31" s="135">
        <f>SUM(H31:N31)</f>
        <v>0</v>
      </c>
      <c r="G31" s="113"/>
      <c r="H31" s="178"/>
      <c r="I31" s="209"/>
      <c r="J31" s="209"/>
      <c r="K31" s="219"/>
      <c r="L31" s="228"/>
      <c r="M31" s="228"/>
      <c r="N31" s="179"/>
      <c r="O31" s="113"/>
      <c r="P31" s="146" t="s">
        <v>80</v>
      </c>
    </row>
    <row r="32" spans="1:16" x14ac:dyDescent="0.25">
      <c r="D32" s="133" t="s">
        <v>82</v>
      </c>
      <c r="E32" s="143" t="s">
        <v>66</v>
      </c>
      <c r="F32" s="94">
        <f>SUM(H32:N32)</f>
        <v>0</v>
      </c>
      <c r="G32" s="113"/>
      <c r="H32" s="140"/>
      <c r="I32" s="210"/>
      <c r="J32" s="210"/>
      <c r="K32" s="220"/>
      <c r="L32" s="229"/>
      <c r="M32" s="229"/>
      <c r="N32" s="165"/>
      <c r="O32" s="113"/>
      <c r="P32" s="146" t="s">
        <v>81</v>
      </c>
    </row>
    <row r="33" spans="2:16" x14ac:dyDescent="0.25">
      <c r="F33"/>
      <c r="H33" s="138"/>
      <c r="I33" s="208"/>
      <c r="J33" s="208"/>
      <c r="K33" s="142"/>
      <c r="L33" s="227"/>
      <c r="M33" s="227"/>
      <c r="N33" s="164"/>
    </row>
    <row r="34" spans="2:16" x14ac:dyDescent="0.25">
      <c r="B34" s="1" t="s">
        <v>86</v>
      </c>
      <c r="F34" s="150" t="s">
        <v>14</v>
      </c>
      <c r="H34" s="138"/>
      <c r="I34" s="208"/>
      <c r="J34" s="208"/>
      <c r="K34" s="142"/>
      <c r="L34" s="227"/>
      <c r="M34" s="227"/>
      <c r="N34" s="164"/>
    </row>
    <row r="35" spans="2:16" x14ac:dyDescent="0.25">
      <c r="C35" s="154" t="s">
        <v>74</v>
      </c>
      <c r="D35" s="155"/>
      <c r="F35" s="150"/>
      <c r="H35" s="138"/>
      <c r="I35" s="208"/>
      <c r="J35" s="208"/>
      <c r="K35" s="142"/>
      <c r="L35" s="227"/>
      <c r="M35" s="227"/>
      <c r="N35" s="164"/>
      <c r="P35" s="116"/>
    </row>
    <row r="36" spans="2:16" x14ac:dyDescent="0.25">
      <c r="C36" s="154"/>
      <c r="D36" s="155" t="s">
        <v>79</v>
      </c>
      <c r="F36" s="149"/>
      <c r="G36" s="113"/>
      <c r="H36" s="174"/>
      <c r="I36" s="211"/>
      <c r="J36" s="211"/>
      <c r="K36" s="221"/>
      <c r="L36" s="227"/>
      <c r="M36" s="227"/>
      <c r="N36" s="164"/>
      <c r="O36" s="113"/>
      <c r="P36" s="144" t="s">
        <v>68</v>
      </c>
    </row>
    <row r="37" spans="2:16" x14ac:dyDescent="0.25">
      <c r="C37" s="154"/>
      <c r="D37" s="155" t="s">
        <v>78</v>
      </c>
      <c r="E37" s="143" t="s">
        <v>65</v>
      </c>
      <c r="F37" s="135">
        <f>SUM(H37:N37)</f>
        <v>0</v>
      </c>
      <c r="G37" s="113"/>
      <c r="H37" s="178"/>
      <c r="I37" s="209"/>
      <c r="J37" s="209"/>
      <c r="K37" s="219"/>
      <c r="L37" s="228"/>
      <c r="M37" s="228"/>
      <c r="N37" s="179"/>
      <c r="O37" s="113"/>
      <c r="P37" s="146"/>
    </row>
    <row r="38" spans="2:16" x14ac:dyDescent="0.25">
      <c r="C38" s="154"/>
      <c r="D38" s="155" t="s">
        <v>82</v>
      </c>
      <c r="E38" s="143" t="s">
        <v>66</v>
      </c>
      <c r="F38" s="94">
        <f>SUM(H38:N38)</f>
        <v>0</v>
      </c>
      <c r="G38" s="113"/>
      <c r="H38" s="140"/>
      <c r="I38" s="210"/>
      <c r="J38" s="210"/>
      <c r="K38" s="220"/>
      <c r="L38" s="229"/>
      <c r="M38" s="229"/>
      <c r="N38" s="165"/>
      <c r="O38" s="113"/>
      <c r="P38" s="146"/>
    </row>
    <row r="39" spans="2:16" x14ac:dyDescent="0.25">
      <c r="C39" s="154" t="s">
        <v>76</v>
      </c>
      <c r="D39" s="155"/>
      <c r="F39" s="113"/>
      <c r="G39" s="113"/>
      <c r="H39" s="205"/>
      <c r="I39" s="214"/>
      <c r="J39" s="214"/>
      <c r="K39" s="224"/>
      <c r="L39" s="227"/>
      <c r="M39" s="227"/>
      <c r="N39" s="164"/>
      <c r="O39" s="113"/>
      <c r="P39" s="116"/>
    </row>
    <row r="40" spans="2:16" x14ac:dyDescent="0.25">
      <c r="C40" s="154"/>
      <c r="D40" s="155" t="s">
        <v>79</v>
      </c>
      <c r="F40" s="149"/>
      <c r="G40" s="113"/>
      <c r="H40" s="205"/>
      <c r="I40" s="214"/>
      <c r="J40" s="214"/>
      <c r="K40" s="224"/>
      <c r="L40" s="227"/>
      <c r="M40" s="227"/>
      <c r="N40" s="164"/>
      <c r="O40" s="113"/>
      <c r="P40" s="144" t="s">
        <v>68</v>
      </c>
    </row>
    <row r="41" spans="2:16" x14ac:dyDescent="0.25">
      <c r="C41" s="154"/>
      <c r="D41" s="155" t="s">
        <v>78</v>
      </c>
      <c r="E41" s="143" t="s">
        <v>65</v>
      </c>
      <c r="F41" s="135">
        <f>SUM(H41:N41)</f>
        <v>0</v>
      </c>
      <c r="G41" s="113"/>
      <c r="H41" s="178"/>
      <c r="I41" s="209"/>
      <c r="J41" s="209"/>
      <c r="K41" s="219"/>
      <c r="L41" s="228"/>
      <c r="M41" s="228"/>
      <c r="N41" s="179"/>
      <c r="O41" s="113"/>
      <c r="P41" s="146"/>
    </row>
    <row r="42" spans="2:16" x14ac:dyDescent="0.25">
      <c r="C42" s="154"/>
      <c r="D42" s="155" t="s">
        <v>82</v>
      </c>
      <c r="E42" s="143" t="s">
        <v>66</v>
      </c>
      <c r="F42" s="94">
        <f>SUM(H42:N42)</f>
        <v>0</v>
      </c>
      <c r="G42" s="113"/>
      <c r="H42" s="140"/>
      <c r="I42" s="210"/>
      <c r="J42" s="210"/>
      <c r="K42" s="220"/>
      <c r="L42" s="229"/>
      <c r="M42" s="229"/>
      <c r="N42" s="165"/>
      <c r="O42" s="113"/>
      <c r="P42" s="146"/>
    </row>
    <row r="43" spans="2:16" x14ac:dyDescent="0.25">
      <c r="C43" s="154" t="s">
        <v>75</v>
      </c>
      <c r="D43" s="155"/>
      <c r="F43" s="113"/>
      <c r="G43" s="113"/>
      <c r="H43" s="138"/>
      <c r="I43" s="208"/>
      <c r="J43" s="208"/>
      <c r="K43" s="142"/>
      <c r="L43" s="227"/>
      <c r="M43" s="227"/>
      <c r="N43" s="164"/>
      <c r="O43" s="113"/>
      <c r="P43" s="116"/>
    </row>
    <row r="44" spans="2:16" x14ac:dyDescent="0.25">
      <c r="C44" s="154"/>
      <c r="D44" s="155" t="s">
        <v>79</v>
      </c>
      <c r="F44" s="149"/>
      <c r="G44" s="113"/>
      <c r="H44" s="138"/>
      <c r="I44" s="208"/>
      <c r="J44" s="208"/>
      <c r="K44" s="142"/>
      <c r="L44" s="227"/>
      <c r="M44" s="227"/>
      <c r="N44" s="164"/>
      <c r="O44" s="113"/>
      <c r="P44" s="144" t="s">
        <v>68</v>
      </c>
    </row>
    <row r="45" spans="2:16" x14ac:dyDescent="0.25">
      <c r="C45" s="154"/>
      <c r="D45" s="155" t="s">
        <v>78</v>
      </c>
      <c r="E45" s="143" t="s">
        <v>65</v>
      </c>
      <c r="F45" s="135">
        <f>SUM(H45:N45)</f>
        <v>0</v>
      </c>
      <c r="G45" s="113"/>
      <c r="H45" s="178"/>
      <c r="I45" s="209"/>
      <c r="J45" s="209"/>
      <c r="K45" s="219"/>
      <c r="L45" s="228"/>
      <c r="M45" s="228"/>
      <c r="N45" s="179"/>
      <c r="O45" s="113"/>
      <c r="P45" s="146"/>
    </row>
    <row r="46" spans="2:16" x14ac:dyDescent="0.25">
      <c r="C46" s="154"/>
      <c r="D46" s="155" t="s">
        <v>82</v>
      </c>
      <c r="E46" s="143" t="s">
        <v>66</v>
      </c>
      <c r="F46" s="94">
        <f>SUM(H46:N46)</f>
        <v>0</v>
      </c>
      <c r="G46" s="113"/>
      <c r="H46" s="140"/>
      <c r="I46" s="210"/>
      <c r="J46" s="210"/>
      <c r="K46" s="220"/>
      <c r="L46" s="229"/>
      <c r="M46" s="229"/>
      <c r="N46" s="165"/>
      <c r="O46" s="113"/>
      <c r="P46" s="146"/>
    </row>
    <row r="47" spans="2:16" x14ac:dyDescent="0.25">
      <c r="C47" s="154" t="s">
        <v>52</v>
      </c>
      <c r="D47" s="155"/>
      <c r="F47" s="113"/>
      <c r="G47" s="113"/>
      <c r="H47" s="138"/>
      <c r="I47" s="208"/>
      <c r="J47" s="208"/>
      <c r="K47" s="142"/>
      <c r="L47" s="227"/>
      <c r="M47" s="227"/>
      <c r="N47" s="164"/>
      <c r="O47" s="113"/>
      <c r="P47" s="116"/>
    </row>
    <row r="48" spans="2:16" x14ac:dyDescent="0.25">
      <c r="C48" s="154"/>
      <c r="D48" s="155" t="s">
        <v>79</v>
      </c>
      <c r="F48" s="149"/>
      <c r="G48" s="113"/>
      <c r="H48" s="138"/>
      <c r="I48" s="208"/>
      <c r="J48" s="208"/>
      <c r="K48" s="142"/>
      <c r="L48" s="227"/>
      <c r="M48" s="227"/>
      <c r="N48" s="164"/>
      <c r="O48" s="113"/>
      <c r="P48" s="144" t="s">
        <v>68</v>
      </c>
    </row>
    <row r="49" spans="3:16" x14ac:dyDescent="0.25">
      <c r="C49" s="154"/>
      <c r="D49" s="155" t="s">
        <v>78</v>
      </c>
      <c r="E49" s="143" t="s">
        <v>65</v>
      </c>
      <c r="F49" s="135">
        <f>SUM(H49:N49)</f>
        <v>0</v>
      </c>
      <c r="G49" s="113"/>
      <c r="H49" s="178"/>
      <c r="I49" s="209"/>
      <c r="J49" s="209"/>
      <c r="K49" s="219"/>
      <c r="L49" s="228"/>
      <c r="M49" s="228"/>
      <c r="N49" s="179"/>
      <c r="O49" s="113"/>
      <c r="P49" s="146"/>
    </row>
    <row r="50" spans="3:16" x14ac:dyDescent="0.25">
      <c r="C50" s="154"/>
      <c r="D50" s="155" t="s">
        <v>82</v>
      </c>
      <c r="E50" s="143" t="s">
        <v>66</v>
      </c>
      <c r="F50" s="94">
        <f>SUM(H50:N50)</f>
        <v>0</v>
      </c>
      <c r="G50" s="113"/>
      <c r="H50" s="140"/>
      <c r="I50" s="210"/>
      <c r="J50" s="210"/>
      <c r="K50" s="220"/>
      <c r="L50" s="229"/>
      <c r="M50" s="229"/>
      <c r="N50" s="165"/>
      <c r="O50" s="113"/>
      <c r="P50" s="146"/>
    </row>
    <row r="51" spans="3:16" x14ac:dyDescent="0.25">
      <c r="C51" s="157" t="s">
        <v>87</v>
      </c>
      <c r="D51" s="155"/>
      <c r="F51" s="113"/>
      <c r="G51" s="113"/>
      <c r="H51" s="138"/>
      <c r="I51" s="208"/>
      <c r="J51" s="208"/>
      <c r="K51" s="142"/>
      <c r="L51" s="227"/>
      <c r="M51" s="227"/>
      <c r="N51" s="164"/>
      <c r="O51" s="113"/>
      <c r="P51" s="116"/>
    </row>
    <row r="52" spans="3:16" x14ac:dyDescent="0.25">
      <c r="C52" s="154"/>
      <c r="D52" s="155" t="s">
        <v>79</v>
      </c>
      <c r="F52" s="149"/>
      <c r="G52" s="113"/>
      <c r="H52" s="138"/>
      <c r="I52" s="208"/>
      <c r="J52" s="208"/>
      <c r="K52" s="142"/>
      <c r="L52" s="227"/>
      <c r="M52" s="227"/>
      <c r="N52" s="164"/>
      <c r="O52" s="113"/>
      <c r="P52" s="144" t="s">
        <v>68</v>
      </c>
    </row>
    <row r="53" spans="3:16" x14ac:dyDescent="0.25">
      <c r="C53" s="154"/>
      <c r="D53" s="155" t="s">
        <v>78</v>
      </c>
      <c r="E53" s="143" t="s">
        <v>65</v>
      </c>
      <c r="F53" s="135">
        <f>SUM(H53:N53)</f>
        <v>0</v>
      </c>
      <c r="G53" s="113"/>
      <c r="H53" s="178"/>
      <c r="I53" s="209"/>
      <c r="J53" s="209"/>
      <c r="K53" s="219"/>
      <c r="L53" s="228"/>
      <c r="M53" s="228"/>
      <c r="N53" s="179"/>
      <c r="O53" s="113"/>
      <c r="P53" s="146"/>
    </row>
    <row r="54" spans="3:16" x14ac:dyDescent="0.25">
      <c r="C54" s="154"/>
      <c r="D54" s="155" t="s">
        <v>82</v>
      </c>
      <c r="E54" s="143" t="s">
        <v>66</v>
      </c>
      <c r="F54" s="94">
        <f>SUM(H54:N54)</f>
        <v>0</v>
      </c>
      <c r="G54" s="113"/>
      <c r="H54" s="140"/>
      <c r="I54" s="210"/>
      <c r="J54" s="210"/>
      <c r="K54" s="220"/>
      <c r="L54" s="229"/>
      <c r="M54" s="229"/>
      <c r="N54" s="165"/>
      <c r="O54" s="113"/>
      <c r="P54" s="146"/>
    </row>
    <row r="55" spans="3:16" x14ac:dyDescent="0.25">
      <c r="C55" s="156" t="s">
        <v>99</v>
      </c>
      <c r="D55" s="167"/>
      <c r="F55" s="113"/>
      <c r="G55" s="113"/>
      <c r="H55" s="138"/>
      <c r="I55" s="208"/>
      <c r="J55" s="208"/>
      <c r="K55" s="142"/>
      <c r="L55" s="227"/>
      <c r="M55" s="227"/>
      <c r="N55" s="164"/>
      <c r="O55" s="113"/>
      <c r="P55" s="116"/>
    </row>
    <row r="56" spans="3:16" x14ac:dyDescent="0.25">
      <c r="C56" s="154"/>
      <c r="D56" s="155" t="s">
        <v>79</v>
      </c>
      <c r="F56" s="149"/>
      <c r="G56" s="113"/>
      <c r="H56" s="138"/>
      <c r="I56" s="208"/>
      <c r="J56" s="208"/>
      <c r="K56" s="142"/>
      <c r="L56" s="227"/>
      <c r="M56" s="227"/>
      <c r="N56" s="164"/>
      <c r="O56" s="113"/>
      <c r="P56" s="144" t="s">
        <v>68</v>
      </c>
    </row>
    <row r="57" spans="3:16" x14ac:dyDescent="0.25">
      <c r="C57" s="154"/>
      <c r="D57" s="155" t="s">
        <v>78</v>
      </c>
      <c r="E57" s="143" t="s">
        <v>65</v>
      </c>
      <c r="F57" s="135">
        <f>SUM(H57:N57)</f>
        <v>0</v>
      </c>
      <c r="G57" s="113"/>
      <c r="H57" s="178"/>
      <c r="I57" s="209"/>
      <c r="J57" s="209"/>
      <c r="K57" s="219"/>
      <c r="L57" s="228"/>
      <c r="M57" s="228"/>
      <c r="N57" s="179"/>
      <c r="O57" s="113"/>
      <c r="P57" s="146"/>
    </row>
    <row r="58" spans="3:16" x14ac:dyDescent="0.25">
      <c r="C58" s="154"/>
      <c r="D58" s="155" t="s">
        <v>82</v>
      </c>
      <c r="E58" s="143" t="s">
        <v>66</v>
      </c>
      <c r="F58" s="94">
        <f>SUM(H58:N58)</f>
        <v>0</v>
      </c>
      <c r="G58" s="113"/>
      <c r="H58" s="140"/>
      <c r="I58" s="210"/>
      <c r="J58" s="210"/>
      <c r="K58" s="220"/>
      <c r="L58" s="229"/>
      <c r="M58" s="229"/>
      <c r="N58" s="165"/>
      <c r="O58" s="113"/>
      <c r="P58" s="146"/>
    </row>
    <row r="59" spans="3:16" x14ac:dyDescent="0.25">
      <c r="C59" s="156" t="s">
        <v>58</v>
      </c>
      <c r="D59" s="167"/>
      <c r="F59" s="113"/>
      <c r="G59" s="113"/>
      <c r="H59" s="138"/>
      <c r="I59" s="208"/>
      <c r="J59" s="208"/>
      <c r="K59" s="142"/>
      <c r="L59" s="227"/>
      <c r="M59" s="227"/>
      <c r="N59" s="164"/>
      <c r="O59" s="113"/>
      <c r="P59" s="116"/>
    </row>
    <row r="60" spans="3:16" x14ac:dyDescent="0.25">
      <c r="C60" s="154"/>
      <c r="D60" s="155" t="s">
        <v>79</v>
      </c>
      <c r="F60" s="149"/>
      <c r="G60" s="113"/>
      <c r="H60" s="138"/>
      <c r="I60" s="208"/>
      <c r="J60" s="208"/>
      <c r="K60" s="142"/>
      <c r="L60" s="227"/>
      <c r="M60" s="227"/>
      <c r="N60" s="164"/>
      <c r="O60" s="113"/>
      <c r="P60" s="144" t="s">
        <v>68</v>
      </c>
    </row>
    <row r="61" spans="3:16" x14ac:dyDescent="0.25">
      <c r="C61" s="154"/>
      <c r="D61" s="155" t="s">
        <v>78</v>
      </c>
      <c r="E61" s="143" t="s">
        <v>65</v>
      </c>
      <c r="F61" s="135">
        <f>SUM(H61:N61)</f>
        <v>0</v>
      </c>
      <c r="G61" s="113"/>
      <c r="H61" s="178"/>
      <c r="I61" s="209"/>
      <c r="J61" s="209"/>
      <c r="K61" s="219"/>
      <c r="L61" s="228"/>
      <c r="M61" s="228"/>
      <c r="N61" s="179"/>
      <c r="O61" s="113"/>
      <c r="P61" s="146"/>
    </row>
    <row r="62" spans="3:16" x14ac:dyDescent="0.25">
      <c r="C62" s="154"/>
      <c r="D62" s="155" t="s">
        <v>82</v>
      </c>
      <c r="E62" s="143" t="s">
        <v>66</v>
      </c>
      <c r="F62" s="94">
        <f>SUM(H62:N62)</f>
        <v>0</v>
      </c>
      <c r="G62" s="113"/>
      <c r="H62" s="140"/>
      <c r="I62" s="210"/>
      <c r="J62" s="210"/>
      <c r="K62" s="220"/>
      <c r="L62" s="229"/>
      <c r="M62" s="229"/>
      <c r="N62" s="165"/>
      <c r="O62" s="113"/>
      <c r="P62" s="146"/>
    </row>
    <row r="63" spans="3:16" ht="13.8" thickBot="1" x14ac:dyDescent="0.3">
      <c r="C63" s="154"/>
      <c r="D63" s="155"/>
      <c r="F63" s="94"/>
      <c r="G63" s="113"/>
      <c r="H63" s="159"/>
      <c r="I63" s="215"/>
      <c r="J63" s="215"/>
      <c r="K63" s="225"/>
      <c r="L63" s="230"/>
      <c r="M63" s="230"/>
      <c r="N63" s="166"/>
      <c r="O63" s="113"/>
      <c r="P63" s="158"/>
    </row>
    <row r="64" spans="3:16" x14ac:dyDescent="0.25">
      <c r="D64" s="152"/>
      <c r="F64" s="113"/>
      <c r="G64" s="113"/>
      <c r="O64" s="113"/>
      <c r="P64" s="142"/>
    </row>
    <row r="65" spans="1:16" x14ac:dyDescent="0.25">
      <c r="B65" s="1" t="s">
        <v>55</v>
      </c>
      <c r="C65" s="154"/>
      <c r="D65" s="155"/>
      <c r="F65" s="94"/>
      <c r="G65" s="113"/>
      <c r="O65" s="113"/>
      <c r="P65" s="142"/>
    </row>
    <row r="66" spans="1:16" x14ac:dyDescent="0.25">
      <c r="C66" s="157" t="s">
        <v>91</v>
      </c>
      <c r="D66" s="155"/>
      <c r="F66" s="150" t="s">
        <v>14</v>
      </c>
      <c r="G66" s="113"/>
      <c r="H66" s="144" t="s">
        <v>68</v>
      </c>
      <c r="I66" s="144"/>
      <c r="J66" s="144"/>
      <c r="K66" s="144"/>
      <c r="O66" s="113"/>
      <c r="P66" s="142"/>
    </row>
    <row r="67" spans="1:16" x14ac:dyDescent="0.25">
      <c r="C67" s="154"/>
      <c r="D67" s="167" t="s">
        <v>89</v>
      </c>
      <c r="F67" s="149"/>
      <c r="G67" s="113"/>
      <c r="H67" s="146"/>
      <c r="I67" s="146"/>
      <c r="J67" s="146"/>
      <c r="K67" s="146"/>
      <c r="L67" s="131"/>
      <c r="M67" s="131"/>
      <c r="O67" s="113"/>
      <c r="P67" s="142"/>
    </row>
    <row r="68" spans="1:16" x14ac:dyDescent="0.25">
      <c r="C68" s="154"/>
      <c r="D68" s="167" t="s">
        <v>89</v>
      </c>
      <c r="F68" s="149"/>
      <c r="G68" s="113"/>
      <c r="H68" s="146"/>
      <c r="I68" s="146"/>
      <c r="J68" s="146"/>
      <c r="K68" s="146"/>
      <c r="L68" s="131"/>
      <c r="M68" s="131"/>
      <c r="O68" s="113"/>
      <c r="P68" s="142"/>
    </row>
    <row r="69" spans="1:16" x14ac:dyDescent="0.25">
      <c r="D69" s="152"/>
      <c r="F69" s="113"/>
      <c r="G69" s="113"/>
      <c r="O69" s="113"/>
      <c r="P69" s="142"/>
    </row>
    <row r="70" spans="1:16" x14ac:dyDescent="0.25">
      <c r="B70" s="74" t="s">
        <v>112</v>
      </c>
      <c r="C70" s="157"/>
      <c r="D70" s="288"/>
      <c r="F70" s="94"/>
      <c r="G70" s="113"/>
      <c r="O70" s="113"/>
      <c r="P70" s="142"/>
    </row>
    <row r="71" spans="1:16" ht="26.4" x14ac:dyDescent="0.25">
      <c r="B71" s="74"/>
      <c r="C71" s="157" t="s">
        <v>111</v>
      </c>
      <c r="D71" s="288"/>
      <c r="F71" s="150" t="s">
        <v>14</v>
      </c>
      <c r="G71" s="113"/>
      <c r="H71" s="300" t="str">
        <f>H23</f>
        <v>1ste herinnering</v>
      </c>
      <c r="I71" s="301" t="str">
        <f t="shared" ref="I71:K71" si="0">I23</f>
        <v>2de herinnering</v>
      </c>
      <c r="J71" s="301" t="str">
        <f t="shared" si="0"/>
        <v>Incasso</v>
      </c>
      <c r="K71" s="302" t="str">
        <f t="shared" si="0"/>
        <v>Ingebrekestelling</v>
      </c>
      <c r="L71" s="303" t="str">
        <f>L22</f>
        <v>Invorderings-cyclus</v>
      </c>
      <c r="M71" s="303" t="str">
        <f>M22</f>
        <v>Boekhoudkundige verwerking</v>
      </c>
      <c r="N71" s="304" t="str">
        <f>N21</f>
        <v>Overige activiteiten</v>
      </c>
      <c r="O71" s="113"/>
      <c r="P71" s="116"/>
    </row>
    <row r="72" spans="1:16" x14ac:dyDescent="0.25">
      <c r="C72" s="154"/>
      <c r="D72" s="155" t="s">
        <v>79</v>
      </c>
      <c r="F72" s="149"/>
      <c r="G72" s="113"/>
      <c r="H72" s="138"/>
      <c r="I72" s="208"/>
      <c r="J72" s="208"/>
      <c r="K72" s="142"/>
      <c r="L72" s="227"/>
      <c r="M72" s="227"/>
      <c r="N72" s="164"/>
      <c r="O72" s="113"/>
      <c r="P72" s="144" t="s">
        <v>68</v>
      </c>
    </row>
    <row r="73" spans="1:16" x14ac:dyDescent="0.25">
      <c r="C73" s="154"/>
      <c r="D73" s="155" t="s">
        <v>78</v>
      </c>
      <c r="E73" s="143" t="s">
        <v>65</v>
      </c>
      <c r="F73" s="135">
        <f>SUM(H73:N73)</f>
        <v>0</v>
      </c>
      <c r="G73" s="113"/>
      <c r="H73" s="178"/>
      <c r="I73" s="209"/>
      <c r="J73" s="209"/>
      <c r="K73" s="219"/>
      <c r="L73" s="228"/>
      <c r="M73" s="228"/>
      <c r="N73" s="179"/>
      <c r="O73" s="113"/>
      <c r="P73" s="146"/>
    </row>
    <row r="74" spans="1:16" x14ac:dyDescent="0.25">
      <c r="C74" s="154"/>
      <c r="D74" s="155" t="s">
        <v>82</v>
      </c>
      <c r="E74" s="143" t="s">
        <v>66</v>
      </c>
      <c r="F74" s="94">
        <f>SUM(H74:N74)</f>
        <v>0</v>
      </c>
      <c r="G74" s="113"/>
      <c r="H74" s="140"/>
      <c r="I74" s="210"/>
      <c r="J74" s="210"/>
      <c r="K74" s="220"/>
      <c r="L74" s="229"/>
      <c r="M74" s="229"/>
      <c r="N74" s="165"/>
      <c r="O74" s="113"/>
      <c r="P74" s="146"/>
    </row>
    <row r="75" spans="1:16" ht="13.8" thickBot="1" x14ac:dyDescent="0.3">
      <c r="C75" s="157"/>
      <c r="D75" s="288"/>
      <c r="E75" s="168"/>
      <c r="F75" s="72"/>
      <c r="G75" s="6"/>
      <c r="H75" s="159"/>
      <c r="I75" s="215"/>
      <c r="J75" s="215"/>
      <c r="K75" s="225"/>
      <c r="L75" s="230"/>
      <c r="M75" s="230"/>
      <c r="N75" s="166"/>
      <c r="O75" s="113"/>
      <c r="P75" s="142"/>
    </row>
    <row r="76" spans="1:16" x14ac:dyDescent="0.25">
      <c r="A76" s="130" t="s">
        <v>109</v>
      </c>
      <c r="F76" s="143"/>
      <c r="P76" s="142"/>
    </row>
    <row r="77" spans="1:16" x14ac:dyDescent="0.25">
      <c r="C77" s="132" t="s">
        <v>92</v>
      </c>
      <c r="F77" s="168"/>
      <c r="G77" s="6"/>
      <c r="H77" s="144" t="s">
        <v>68</v>
      </c>
      <c r="I77" s="144"/>
      <c r="J77" s="144"/>
      <c r="K77" s="144"/>
      <c r="L77" s="161"/>
      <c r="M77" s="161"/>
      <c r="O77" s="113"/>
      <c r="P77" s="142"/>
    </row>
    <row r="78" spans="1:16" x14ac:dyDescent="0.25">
      <c r="D78" s="133" t="str">
        <f>L22</f>
        <v>Invorderings-cyclus</v>
      </c>
      <c r="F78" s="307" t="s">
        <v>94</v>
      </c>
      <c r="H78" s="305" t="s">
        <v>110</v>
      </c>
      <c r="I78" s="158"/>
      <c r="J78" s="158"/>
      <c r="K78" s="158"/>
      <c r="L78" s="161"/>
      <c r="M78" s="161"/>
      <c r="P78" s="142"/>
    </row>
    <row r="79" spans="1:16" x14ac:dyDescent="0.25">
      <c r="D79" s="133" t="str">
        <f>M22</f>
        <v>Boekhoudkundige verwerking</v>
      </c>
      <c r="F79" s="307" t="s">
        <v>94</v>
      </c>
      <c r="H79" s="305" t="s">
        <v>110</v>
      </c>
      <c r="I79" s="158"/>
      <c r="J79" s="158"/>
      <c r="K79" s="158"/>
      <c r="L79" s="161"/>
      <c r="M79" s="161"/>
      <c r="P79" s="142"/>
    </row>
    <row r="80" spans="1:16" x14ac:dyDescent="0.25">
      <c r="F80" s="143"/>
    </row>
    <row r="81" spans="1:11" x14ac:dyDescent="0.25">
      <c r="A81" s="130" t="s">
        <v>105</v>
      </c>
      <c r="F81" s="143"/>
      <c r="H81" s="300" t="s">
        <v>56</v>
      </c>
      <c r="I81" s="301" t="s">
        <v>57</v>
      </c>
      <c r="J81" s="301" t="s">
        <v>108</v>
      </c>
      <c r="K81" s="302" t="s">
        <v>104</v>
      </c>
    </row>
    <row r="82" spans="1:11" x14ac:dyDescent="0.25">
      <c r="D82" s="335" t="s">
        <v>190</v>
      </c>
      <c r="F82" s="143"/>
      <c r="G82" s="113"/>
      <c r="H82" s="336" t="e">
        <f>+Berekening!H98</f>
        <v>#DIV/0!</v>
      </c>
      <c r="I82" s="336" t="e">
        <f>+Berekening!I98</f>
        <v>#DIV/0!</v>
      </c>
      <c r="J82" s="336" t="e">
        <f>+Berekening!J98</f>
        <v>#DIV/0!</v>
      </c>
      <c r="K82" s="336" t="e">
        <f>+Berekening!K98</f>
        <v>#DIV/0!</v>
      </c>
    </row>
    <row r="83" spans="1:11" x14ac:dyDescent="0.25">
      <c r="D83" s="337" t="s">
        <v>187</v>
      </c>
      <c r="F83" s="143"/>
      <c r="G83" s="113"/>
      <c r="I83" s="338"/>
      <c r="J83" s="338"/>
      <c r="K83" s="338"/>
    </row>
    <row r="84" spans="1:11" ht="13.8" thickBot="1" x14ac:dyDescent="0.3">
      <c r="D84" s="337" t="s">
        <v>188</v>
      </c>
      <c r="F84" s="143"/>
      <c r="G84" s="113"/>
      <c r="I84" s="338"/>
      <c r="J84" s="338"/>
      <c r="K84" s="338"/>
    </row>
    <row r="85" spans="1:11" ht="13.8" thickBot="1" x14ac:dyDescent="0.3">
      <c r="D85" s="340" t="s">
        <v>186</v>
      </c>
      <c r="G85" s="113"/>
      <c r="H85" s="353" t="s">
        <v>192</v>
      </c>
      <c r="I85" s="341" t="e">
        <f t="shared" ref="I85:K85" si="1">+I82+I83+I84</f>
        <v>#DIV/0!</v>
      </c>
      <c r="J85" s="341" t="e">
        <f t="shared" si="1"/>
        <v>#DIV/0!</v>
      </c>
      <c r="K85" s="341" t="e">
        <f t="shared" si="1"/>
        <v>#DIV/0!</v>
      </c>
    </row>
    <row r="86" spans="1:11" x14ac:dyDescent="0.25">
      <c r="G86" s="113"/>
    </row>
    <row r="87" spans="1:11" x14ac:dyDescent="0.25">
      <c r="D87" s="339" t="s">
        <v>189</v>
      </c>
      <c r="F87" s="143"/>
      <c r="G87" s="113"/>
      <c r="H87" s="344"/>
      <c r="I87" s="345"/>
      <c r="J87" s="345"/>
      <c r="K87" s="346"/>
    </row>
    <row r="88" spans="1:11" x14ac:dyDescent="0.25">
      <c r="D88" s="301" t="s">
        <v>57</v>
      </c>
      <c r="H88" s="344"/>
      <c r="I88" s="345"/>
      <c r="J88" s="345"/>
      <c r="K88" s="346"/>
    </row>
    <row r="89" spans="1:11" x14ac:dyDescent="0.25">
      <c r="D89" s="301" t="s">
        <v>108</v>
      </c>
      <c r="H89" s="344"/>
      <c r="I89" s="345"/>
      <c r="J89" s="345"/>
      <c r="K89" s="346"/>
    </row>
    <row r="90" spans="1:11" x14ac:dyDescent="0.25">
      <c r="D90" s="302" t="s">
        <v>104</v>
      </c>
      <c r="H90" s="342"/>
      <c r="I90" s="342"/>
      <c r="J90" s="342"/>
      <c r="K90" s="342"/>
    </row>
  </sheetData>
  <mergeCells count="5">
    <mergeCell ref="H90:K90"/>
    <mergeCell ref="P21:P23"/>
    <mergeCell ref="H87:K87"/>
    <mergeCell ref="H88:K88"/>
    <mergeCell ref="H89:K8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200" verticalDpi="1200" r:id="rId1"/>
  <ignoredErrors>
    <ignoredError sqref="F13:F1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6DBE4D-7454-4EB8-A16C-46A8B06AD116}">
          <x14:formula1>
            <xm:f>List!$B$3:$B$9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8B48-B0A6-47A7-BEB5-D84B6797CF32}">
  <sheetPr>
    <pageSetUpPr fitToPage="1"/>
  </sheetPr>
  <dimension ref="A2:O99"/>
  <sheetViews>
    <sheetView showGridLines="0" topLeftCell="A67" zoomScale="70" zoomScaleNormal="70" workbookViewId="0">
      <selection activeCell="H98" sqref="H98:K98"/>
    </sheetView>
  </sheetViews>
  <sheetFormatPr defaultColWidth="8.77734375" defaultRowHeight="13.2" x14ac:dyDescent="0.25"/>
  <cols>
    <col min="1" max="1" width="2.77734375" style="130" customWidth="1"/>
    <col min="2" max="2" width="2.77734375" style="1" customWidth="1"/>
    <col min="3" max="3" width="2.77734375" style="132" customWidth="1"/>
    <col min="4" max="4" width="35.88671875" style="133" bestFit="1" customWidth="1"/>
    <col min="5" max="5" width="5.44140625" style="143" customWidth="1"/>
    <col min="6" max="6" width="15.88671875" style="116" customWidth="1"/>
    <col min="7" max="7" width="2.6640625" style="113" customWidth="1"/>
    <col min="8" max="14" width="15.88671875" style="116" customWidth="1"/>
    <col min="15" max="16384" width="8.77734375" style="116"/>
  </cols>
  <sheetData>
    <row r="2" spans="1:14" x14ac:dyDescent="0.25">
      <c r="A2" s="130" t="s">
        <v>60</v>
      </c>
      <c r="F2" s="161">
        <f>Aanmaningstarieven!F2</f>
        <v>0</v>
      </c>
    </row>
    <row r="4" spans="1:14" x14ac:dyDescent="0.25">
      <c r="A4" s="130" t="s">
        <v>73</v>
      </c>
    </row>
    <row r="5" spans="1:14" x14ac:dyDescent="0.25">
      <c r="C5" s="132" t="s">
        <v>69</v>
      </c>
      <c r="F5" s="239" t="str">
        <f>Aanmaningstarieven!F5</f>
        <v>Aantal</v>
      </c>
      <c r="H5"/>
      <c r="I5" s="113"/>
      <c r="J5" s="113"/>
      <c r="K5" s="113"/>
      <c r="L5"/>
      <c r="M5"/>
    </row>
    <row r="6" spans="1:14" x14ac:dyDescent="0.25">
      <c r="D6" s="133" t="s">
        <v>70</v>
      </c>
      <c r="E6" s="143" t="s">
        <v>67</v>
      </c>
      <c r="F6" s="170">
        <f>Aanmaningstarieven!F6</f>
        <v>0</v>
      </c>
      <c r="H6"/>
      <c r="I6" s="113"/>
      <c r="J6" s="113"/>
      <c r="K6" s="113"/>
      <c r="L6"/>
      <c r="M6"/>
    </row>
    <row r="7" spans="1:14" x14ac:dyDescent="0.25">
      <c r="D7" s="133" t="s">
        <v>71</v>
      </c>
      <c r="E7" s="143" t="s">
        <v>67</v>
      </c>
      <c r="F7" s="170">
        <f>Aanmaningstarieven!F7</f>
        <v>0</v>
      </c>
      <c r="H7"/>
      <c r="I7" s="113"/>
      <c r="J7" s="113"/>
      <c r="K7" s="113"/>
      <c r="L7"/>
      <c r="M7"/>
    </row>
    <row r="8" spans="1:14" x14ac:dyDescent="0.25">
      <c r="D8" s="133" t="s">
        <v>107</v>
      </c>
      <c r="E8" s="143" t="s">
        <v>67</v>
      </c>
      <c r="F8" s="170">
        <f>Aanmaningstarieven!F8</f>
        <v>0</v>
      </c>
      <c r="H8" s="113"/>
      <c r="I8" s="113"/>
      <c r="J8" s="113"/>
      <c r="K8" s="113"/>
      <c r="L8" s="113"/>
      <c r="M8" s="113"/>
    </row>
    <row r="9" spans="1:14" x14ac:dyDescent="0.25">
      <c r="D9" s="133" t="s">
        <v>72</v>
      </c>
      <c r="E9" s="143" t="s">
        <v>67</v>
      </c>
      <c r="F9" s="170">
        <f>Aanmaningstarieven!F9</f>
        <v>0</v>
      </c>
      <c r="H9"/>
      <c r="I9" s="113"/>
      <c r="J9" s="113"/>
      <c r="K9" s="113"/>
      <c r="L9"/>
      <c r="M9"/>
    </row>
    <row r="11" spans="1:14" x14ac:dyDescent="0.25">
      <c r="A11" s="130" t="s">
        <v>63</v>
      </c>
    </row>
    <row r="12" spans="1:14" ht="26.4" x14ac:dyDescent="0.25">
      <c r="F12" s="113"/>
      <c r="H12" s="247" t="s">
        <v>64</v>
      </c>
      <c r="I12" s="248"/>
      <c r="J12" s="248"/>
      <c r="K12" s="248"/>
      <c r="L12" s="248"/>
      <c r="M12" s="249"/>
      <c r="N12" s="162" t="s">
        <v>83</v>
      </c>
    </row>
    <row r="13" spans="1:14" ht="26.4" x14ac:dyDescent="0.25">
      <c r="F13" s="113"/>
      <c r="H13" s="250" t="s">
        <v>84</v>
      </c>
      <c r="I13" s="218"/>
      <c r="J13" s="218"/>
      <c r="K13" s="218"/>
      <c r="L13" s="226" t="s">
        <v>85</v>
      </c>
      <c r="M13" s="226" t="s">
        <v>54</v>
      </c>
      <c r="N13" s="153"/>
    </row>
    <row r="14" spans="1:14" x14ac:dyDescent="0.25">
      <c r="F14" s="113"/>
      <c r="H14" s="245" t="s">
        <v>56</v>
      </c>
      <c r="I14" s="246" t="s">
        <v>57</v>
      </c>
      <c r="J14" s="246" t="s">
        <v>108</v>
      </c>
      <c r="K14" s="253" t="s">
        <v>104</v>
      </c>
      <c r="L14" s="226"/>
      <c r="M14" s="226"/>
      <c r="N14" s="153"/>
    </row>
    <row r="15" spans="1:14" x14ac:dyDescent="0.25">
      <c r="B15" s="1" t="s">
        <v>51</v>
      </c>
      <c r="F15" s="113"/>
      <c r="H15" s="137"/>
      <c r="I15" s="207"/>
      <c r="J15" s="207"/>
      <c r="K15" s="218"/>
      <c r="L15" s="226"/>
      <c r="M15" s="226"/>
      <c r="N15" s="164"/>
    </row>
    <row r="16" spans="1:14" x14ac:dyDescent="0.25">
      <c r="C16" s="132" t="s">
        <v>77</v>
      </c>
      <c r="F16" s="150"/>
      <c r="H16" s="138"/>
      <c r="I16" s="208"/>
      <c r="J16" s="208"/>
      <c r="K16" s="142"/>
      <c r="L16" s="227"/>
      <c r="M16" s="227"/>
      <c r="N16" s="164"/>
    </row>
    <row r="17" spans="2:14" x14ac:dyDescent="0.25">
      <c r="D17" s="133" t="s">
        <v>79</v>
      </c>
      <c r="F17" s="171">
        <f>Aanmaningstarieven!F26</f>
        <v>0</v>
      </c>
      <c r="H17" s="180">
        <f>IF(H18=0,$F17*H19,H18)</f>
        <v>0</v>
      </c>
      <c r="I17" s="240">
        <f>IF(I18=0,$F17*I19,I18)</f>
        <v>0</v>
      </c>
      <c r="J17" s="240">
        <f>IF(J18=0,$F17*J19,J18)</f>
        <v>0</v>
      </c>
      <c r="K17" s="254">
        <f>IF(K18=0,$F17*K19,K18)</f>
        <v>0</v>
      </c>
      <c r="L17" s="176">
        <f t="shared" ref="L17:N17" si="0">IF(L18=0,$F17*L19,L18)</f>
        <v>0</v>
      </c>
      <c r="M17" s="176">
        <f t="shared" si="0"/>
        <v>0</v>
      </c>
      <c r="N17" s="176">
        <f t="shared" si="0"/>
        <v>0</v>
      </c>
    </row>
    <row r="18" spans="2:14" x14ac:dyDescent="0.25">
      <c r="D18" s="133" t="s">
        <v>95</v>
      </c>
      <c r="E18" s="143" t="s">
        <v>65</v>
      </c>
      <c r="F18" s="135">
        <f>SUM(H18:N18)</f>
        <v>0</v>
      </c>
      <c r="H18" s="243">
        <f>Aanmaningstarieven!H27</f>
        <v>0</v>
      </c>
      <c r="I18" s="244">
        <f>Aanmaningstarieven!I27</f>
        <v>0</v>
      </c>
      <c r="J18" s="244">
        <f>Aanmaningstarieven!J27</f>
        <v>0</v>
      </c>
      <c r="K18" s="255">
        <f>Aanmaningstarieven!K27</f>
        <v>0</v>
      </c>
      <c r="L18" s="175">
        <f>Aanmaningstarieven!L27</f>
        <v>0</v>
      </c>
      <c r="M18" s="175">
        <f>Aanmaningstarieven!M27</f>
        <v>0</v>
      </c>
      <c r="N18" s="175">
        <f>Aanmaningstarieven!N27</f>
        <v>0</v>
      </c>
    </row>
    <row r="19" spans="2:14" x14ac:dyDescent="0.25">
      <c r="D19" s="133" t="s">
        <v>96</v>
      </c>
      <c r="E19" s="143" t="s">
        <v>66</v>
      </c>
      <c r="F19" s="94">
        <f>SUM(H19:N19)</f>
        <v>0</v>
      </c>
      <c r="H19" s="172">
        <f>Aanmaningstarieven!H28</f>
        <v>0</v>
      </c>
      <c r="I19" s="213">
        <f>Aanmaningstarieven!I28</f>
        <v>0</v>
      </c>
      <c r="J19" s="213">
        <f>Aanmaningstarieven!J28</f>
        <v>0</v>
      </c>
      <c r="K19" s="223">
        <f>Aanmaningstarieven!K28</f>
        <v>0</v>
      </c>
      <c r="L19" s="173">
        <f>Aanmaningstarieven!L28</f>
        <v>0</v>
      </c>
      <c r="M19" s="173">
        <f>Aanmaningstarieven!M28</f>
        <v>0</v>
      </c>
      <c r="N19" s="173">
        <f>Aanmaningstarieven!N28</f>
        <v>0</v>
      </c>
    </row>
    <row r="20" spans="2:14" x14ac:dyDescent="0.25">
      <c r="C20" s="177" t="str">
        <f>Aanmaningstarieven!C29</f>
        <v>… kosten</v>
      </c>
      <c r="D20" s="152"/>
      <c r="F20" s="150"/>
      <c r="H20" s="182"/>
      <c r="I20" s="241"/>
      <c r="J20" s="241"/>
      <c r="K20" s="199"/>
      <c r="L20" s="163"/>
      <c r="M20" s="163"/>
      <c r="N20" s="163"/>
    </row>
    <row r="21" spans="2:14" x14ac:dyDescent="0.25">
      <c r="D21" s="152" t="s">
        <v>79</v>
      </c>
      <c r="F21" s="171">
        <f>Aanmaningstarieven!F30</f>
        <v>0</v>
      </c>
      <c r="H21" s="180">
        <f t="shared" ref="H21:N21" si="1">IF(H22=0,$F21*H23,H22)</f>
        <v>0</v>
      </c>
      <c r="I21" s="240">
        <f t="shared" ref="I21:J21" si="2">IF(I22=0,$F21*I23,I22)</f>
        <v>0</v>
      </c>
      <c r="J21" s="240">
        <f t="shared" si="2"/>
        <v>0</v>
      </c>
      <c r="K21" s="254">
        <f t="shared" ref="K21" si="3">IF(K22=0,$F21*K23,K22)</f>
        <v>0</v>
      </c>
      <c r="L21" s="176">
        <f t="shared" si="1"/>
        <v>0</v>
      </c>
      <c r="M21" s="176">
        <f t="shared" si="1"/>
        <v>0</v>
      </c>
      <c r="N21" s="176">
        <f t="shared" si="1"/>
        <v>0</v>
      </c>
    </row>
    <row r="22" spans="2:14" x14ac:dyDescent="0.25">
      <c r="D22" s="133" t="s">
        <v>95</v>
      </c>
      <c r="E22" s="143" t="s">
        <v>65</v>
      </c>
      <c r="F22" s="135">
        <f>SUM(H22:N22)</f>
        <v>0</v>
      </c>
      <c r="H22" s="181">
        <f>Aanmaningstarieven!H31</f>
        <v>0</v>
      </c>
      <c r="I22" s="212">
        <f>Aanmaningstarieven!I31</f>
        <v>0</v>
      </c>
      <c r="J22" s="212">
        <f>Aanmaningstarieven!J31</f>
        <v>0</v>
      </c>
      <c r="K22" s="222">
        <f>Aanmaningstarieven!K31</f>
        <v>0</v>
      </c>
      <c r="L22" s="175">
        <f>Aanmaningstarieven!L31</f>
        <v>0</v>
      </c>
      <c r="M22" s="175">
        <f>Aanmaningstarieven!M31</f>
        <v>0</v>
      </c>
      <c r="N22" s="175">
        <f>Aanmaningstarieven!N31</f>
        <v>0</v>
      </c>
    </row>
    <row r="23" spans="2:14" x14ac:dyDescent="0.25">
      <c r="D23" s="133" t="s">
        <v>96</v>
      </c>
      <c r="E23" s="143" t="s">
        <v>66</v>
      </c>
      <c r="F23" s="94">
        <f>SUM(H23:N23)</f>
        <v>0</v>
      </c>
      <c r="H23" s="172">
        <f>Aanmaningstarieven!H32</f>
        <v>0</v>
      </c>
      <c r="I23" s="213">
        <f>Aanmaningstarieven!I32</f>
        <v>0</v>
      </c>
      <c r="J23" s="213">
        <f>Aanmaningstarieven!J32</f>
        <v>0</v>
      </c>
      <c r="K23" s="223">
        <f>Aanmaningstarieven!K32</f>
        <v>0</v>
      </c>
      <c r="L23" s="173">
        <f>Aanmaningstarieven!L32</f>
        <v>0</v>
      </c>
      <c r="M23" s="173">
        <f>Aanmaningstarieven!M32</f>
        <v>0</v>
      </c>
      <c r="N23" s="173">
        <f>Aanmaningstarieven!N32</f>
        <v>0</v>
      </c>
    </row>
    <row r="24" spans="2:14" x14ac:dyDescent="0.25">
      <c r="F24" s="94"/>
      <c r="H24" s="172"/>
      <c r="I24" s="213"/>
      <c r="J24" s="213"/>
      <c r="K24" s="223"/>
      <c r="L24" s="173"/>
      <c r="M24" s="173"/>
      <c r="N24" s="173"/>
    </row>
    <row r="25" spans="2:14" x14ac:dyDescent="0.25">
      <c r="B25" s="190" t="s">
        <v>97</v>
      </c>
      <c r="C25" s="190"/>
      <c r="D25" s="188"/>
      <c r="E25" s="189"/>
      <c r="F25" s="195">
        <f>SUM(H25:N25)</f>
        <v>0</v>
      </c>
      <c r="G25" s="190"/>
      <c r="H25" s="191">
        <f>+H17+H21</f>
        <v>0</v>
      </c>
      <c r="I25" s="242">
        <f t="shared" ref="I25:K25" si="4">+I17+I21</f>
        <v>0</v>
      </c>
      <c r="J25" s="242">
        <f t="shared" ref="J25" si="5">+J17+J21</f>
        <v>0</v>
      </c>
      <c r="K25" s="198">
        <f t="shared" si="4"/>
        <v>0</v>
      </c>
      <c r="L25" s="251">
        <f t="shared" ref="L25:N25" si="6">+L17+L21</f>
        <v>0</v>
      </c>
      <c r="M25" s="251">
        <f t="shared" si="6"/>
        <v>0</v>
      </c>
      <c r="N25" s="193">
        <f t="shared" si="6"/>
        <v>0</v>
      </c>
    </row>
    <row r="26" spans="2:14" x14ac:dyDescent="0.25">
      <c r="F26" s="113"/>
      <c r="H26" s="174"/>
      <c r="I26" s="211"/>
      <c r="J26" s="211"/>
      <c r="K26" s="221"/>
      <c r="L26" s="252"/>
      <c r="M26" s="252"/>
      <c r="N26" s="187"/>
    </row>
    <row r="27" spans="2:14" x14ac:dyDescent="0.25">
      <c r="F27" s="113"/>
      <c r="H27" s="174"/>
      <c r="I27" s="211"/>
      <c r="J27" s="211"/>
      <c r="K27" s="221"/>
      <c r="L27" s="252"/>
      <c r="M27" s="252"/>
      <c r="N27" s="187"/>
    </row>
    <row r="28" spans="2:14" x14ac:dyDescent="0.25">
      <c r="B28" s="1" t="s">
        <v>86</v>
      </c>
      <c r="F28" s="113"/>
      <c r="H28" s="138"/>
      <c r="I28" s="208"/>
      <c r="J28" s="208"/>
      <c r="K28" s="142"/>
      <c r="L28" s="227"/>
      <c r="M28" s="227"/>
      <c r="N28" s="164"/>
    </row>
    <row r="29" spans="2:14" x14ac:dyDescent="0.25">
      <c r="C29" s="154" t="s">
        <v>74</v>
      </c>
      <c r="D29" s="155"/>
      <c r="F29" s="113"/>
      <c r="H29" s="138"/>
      <c r="I29" s="208"/>
      <c r="J29" s="208"/>
      <c r="K29" s="142"/>
      <c r="L29" s="227"/>
      <c r="M29" s="227"/>
      <c r="N29" s="164"/>
    </row>
    <row r="30" spans="2:14" x14ac:dyDescent="0.25">
      <c r="C30" s="154"/>
      <c r="D30" s="155" t="s">
        <v>79</v>
      </c>
      <c r="F30" s="171">
        <f>Aanmaningstarieven!F36</f>
        <v>0</v>
      </c>
      <c r="H30" s="180">
        <f t="shared" ref="H30:N30" si="7">IF(H31=0,$F30*H32,H31)</f>
        <v>0</v>
      </c>
      <c r="I30" s="240">
        <f t="shared" ref="I30:J30" si="8">IF(I31=0,$F30*I32,I31)</f>
        <v>0</v>
      </c>
      <c r="J30" s="240">
        <f t="shared" si="8"/>
        <v>0</v>
      </c>
      <c r="K30" s="254">
        <f t="shared" ref="K30" si="9">IF(K31=0,$F30*K32,K31)</f>
        <v>0</v>
      </c>
      <c r="L30" s="176">
        <f t="shared" si="7"/>
        <v>0</v>
      </c>
      <c r="M30" s="176">
        <f t="shared" si="7"/>
        <v>0</v>
      </c>
      <c r="N30" s="176">
        <f t="shared" si="7"/>
        <v>0</v>
      </c>
    </row>
    <row r="31" spans="2:14" x14ac:dyDescent="0.25">
      <c r="C31" s="154"/>
      <c r="D31" s="155" t="s">
        <v>95</v>
      </c>
      <c r="E31" s="143" t="s">
        <v>65</v>
      </c>
      <c r="F31" s="135">
        <f>SUM(H31:N31)</f>
        <v>0</v>
      </c>
      <c r="H31" s="181">
        <f>Aanmaningstarieven!H37</f>
        <v>0</v>
      </c>
      <c r="I31" s="212">
        <f>Aanmaningstarieven!I37</f>
        <v>0</v>
      </c>
      <c r="J31" s="212">
        <f>Aanmaningstarieven!J37</f>
        <v>0</v>
      </c>
      <c r="K31" s="222">
        <f>Aanmaningstarieven!K37</f>
        <v>0</v>
      </c>
      <c r="L31" s="175">
        <f>Aanmaningstarieven!L37</f>
        <v>0</v>
      </c>
      <c r="M31" s="175">
        <f>Aanmaningstarieven!M37</f>
        <v>0</v>
      </c>
      <c r="N31" s="175">
        <f>Aanmaningstarieven!N37</f>
        <v>0</v>
      </c>
    </row>
    <row r="32" spans="2:14" x14ac:dyDescent="0.25">
      <c r="C32" s="154"/>
      <c r="D32" s="155" t="s">
        <v>96</v>
      </c>
      <c r="E32" s="143" t="s">
        <v>66</v>
      </c>
      <c r="F32" s="94">
        <f>SUM(H32:N32)</f>
        <v>0</v>
      </c>
      <c r="H32" s="172">
        <f>Aanmaningstarieven!H38</f>
        <v>0</v>
      </c>
      <c r="I32" s="213">
        <f>Aanmaningstarieven!I38</f>
        <v>0</v>
      </c>
      <c r="J32" s="213">
        <f>Aanmaningstarieven!J38</f>
        <v>0</v>
      </c>
      <c r="K32" s="223">
        <f>Aanmaningstarieven!K38</f>
        <v>0</v>
      </c>
      <c r="L32" s="173">
        <f>Aanmaningstarieven!L38</f>
        <v>0</v>
      </c>
      <c r="M32" s="173">
        <f>Aanmaningstarieven!M38</f>
        <v>0</v>
      </c>
      <c r="N32" s="173">
        <f>Aanmaningstarieven!N38</f>
        <v>0</v>
      </c>
    </row>
    <row r="33" spans="3:14" x14ac:dyDescent="0.25">
      <c r="C33" s="154" t="s">
        <v>76</v>
      </c>
      <c r="D33" s="155"/>
      <c r="F33" s="113"/>
      <c r="H33" s="138"/>
      <c r="I33" s="208"/>
      <c r="J33" s="208"/>
      <c r="K33" s="142"/>
      <c r="L33" s="227"/>
      <c r="M33" s="227"/>
      <c r="N33" s="164"/>
    </row>
    <row r="34" spans="3:14" x14ac:dyDescent="0.25">
      <c r="C34" s="154"/>
      <c r="D34" s="155" t="s">
        <v>79</v>
      </c>
      <c r="F34" s="171">
        <f>Aanmaningstarieven!F40</f>
        <v>0</v>
      </c>
      <c r="H34" s="180">
        <f t="shared" ref="H34:N34" si="10">IF(H35=0,$F34*H36,H35)</f>
        <v>0</v>
      </c>
      <c r="I34" s="240">
        <f>IF(I35=0,$F34*I36,I35)</f>
        <v>0</v>
      </c>
      <c r="J34" s="240">
        <f>IF(J35=0,$F34*J36,J35)</f>
        <v>0</v>
      </c>
      <c r="K34" s="254">
        <f t="shared" ref="K34" si="11">IF(K35=0,$F34*K36,K35)</f>
        <v>0</v>
      </c>
      <c r="L34" s="176">
        <f t="shared" si="10"/>
        <v>0</v>
      </c>
      <c r="M34" s="176">
        <f t="shared" si="10"/>
        <v>0</v>
      </c>
      <c r="N34" s="176">
        <f t="shared" si="10"/>
        <v>0</v>
      </c>
    </row>
    <row r="35" spans="3:14" x14ac:dyDescent="0.25">
      <c r="C35" s="154"/>
      <c r="D35" s="155" t="s">
        <v>95</v>
      </c>
      <c r="E35" s="143" t="s">
        <v>65</v>
      </c>
      <c r="F35" s="135">
        <f>SUM(H35:N35)</f>
        <v>0</v>
      </c>
      <c r="H35" s="181">
        <f>Aanmaningstarieven!H41</f>
        <v>0</v>
      </c>
      <c r="I35" s="212">
        <f>Aanmaningstarieven!I41</f>
        <v>0</v>
      </c>
      <c r="J35" s="212">
        <f>Aanmaningstarieven!J41</f>
        <v>0</v>
      </c>
      <c r="K35" s="222">
        <f>Aanmaningstarieven!K41</f>
        <v>0</v>
      </c>
      <c r="L35" s="175">
        <f>Aanmaningstarieven!L41</f>
        <v>0</v>
      </c>
      <c r="M35" s="175">
        <f>Aanmaningstarieven!M41</f>
        <v>0</v>
      </c>
      <c r="N35" s="175">
        <f>Aanmaningstarieven!N41</f>
        <v>0</v>
      </c>
    </row>
    <row r="36" spans="3:14" x14ac:dyDescent="0.25">
      <c r="C36" s="154"/>
      <c r="D36" s="155" t="s">
        <v>96</v>
      </c>
      <c r="E36" s="143" t="s">
        <v>66</v>
      </c>
      <c r="F36" s="94">
        <f>SUM(H36:N36)</f>
        <v>0</v>
      </c>
      <c r="H36" s="172">
        <f>Aanmaningstarieven!H42</f>
        <v>0</v>
      </c>
      <c r="I36" s="213">
        <f>Aanmaningstarieven!I42</f>
        <v>0</v>
      </c>
      <c r="J36" s="213">
        <f>Aanmaningstarieven!J42</f>
        <v>0</v>
      </c>
      <c r="K36" s="223">
        <f>Aanmaningstarieven!K42</f>
        <v>0</v>
      </c>
      <c r="L36" s="173">
        <f>Aanmaningstarieven!L42</f>
        <v>0</v>
      </c>
      <c r="M36" s="173">
        <f>Aanmaningstarieven!M42</f>
        <v>0</v>
      </c>
      <c r="N36" s="173">
        <f>Aanmaningstarieven!N42</f>
        <v>0</v>
      </c>
    </row>
    <row r="37" spans="3:14" x14ac:dyDescent="0.25">
      <c r="C37" s="154" t="s">
        <v>75</v>
      </c>
      <c r="D37" s="155"/>
      <c r="F37" s="113"/>
      <c r="H37" s="138"/>
      <c r="I37" s="208"/>
      <c r="J37" s="208"/>
      <c r="K37" s="142"/>
      <c r="L37" s="227"/>
      <c r="M37" s="227"/>
      <c r="N37" s="164"/>
    </row>
    <row r="38" spans="3:14" x14ac:dyDescent="0.25">
      <c r="C38" s="154"/>
      <c r="D38" s="155" t="s">
        <v>79</v>
      </c>
      <c r="F38" s="171">
        <f>Aanmaningstarieven!F44</f>
        <v>0</v>
      </c>
      <c r="H38" s="180">
        <f t="shared" ref="H38:N38" si="12">IF(H39=0,$F38*H40,H39)</f>
        <v>0</v>
      </c>
      <c r="I38" s="240">
        <f t="shared" ref="I38:J38" si="13">IF(I39=0,$F38*I40,I39)</f>
        <v>0</v>
      </c>
      <c r="J38" s="240">
        <f t="shared" si="13"/>
        <v>0</v>
      </c>
      <c r="K38" s="254">
        <f t="shared" ref="K38" si="14">IF(K39=0,$F38*K40,K39)</f>
        <v>0</v>
      </c>
      <c r="L38" s="176">
        <f t="shared" si="12"/>
        <v>0</v>
      </c>
      <c r="M38" s="176">
        <f t="shared" si="12"/>
        <v>0</v>
      </c>
      <c r="N38" s="176">
        <f t="shared" si="12"/>
        <v>0</v>
      </c>
    </row>
    <row r="39" spans="3:14" x14ac:dyDescent="0.25">
      <c r="C39" s="154"/>
      <c r="D39" s="155" t="s">
        <v>95</v>
      </c>
      <c r="E39" s="143" t="s">
        <v>65</v>
      </c>
      <c r="F39" s="135">
        <f>SUM(H39:N39)</f>
        <v>0</v>
      </c>
      <c r="H39" s="181">
        <f>Aanmaningstarieven!H45</f>
        <v>0</v>
      </c>
      <c r="I39" s="212">
        <f>Aanmaningstarieven!I45</f>
        <v>0</v>
      </c>
      <c r="J39" s="212">
        <f>Aanmaningstarieven!J45</f>
        <v>0</v>
      </c>
      <c r="K39" s="222">
        <f>Aanmaningstarieven!K45</f>
        <v>0</v>
      </c>
      <c r="L39" s="175">
        <f>Aanmaningstarieven!L45</f>
        <v>0</v>
      </c>
      <c r="M39" s="175">
        <f>Aanmaningstarieven!M45</f>
        <v>0</v>
      </c>
      <c r="N39" s="175">
        <f>Aanmaningstarieven!N45</f>
        <v>0</v>
      </c>
    </row>
    <row r="40" spans="3:14" x14ac:dyDescent="0.25">
      <c r="C40" s="154"/>
      <c r="D40" s="155" t="s">
        <v>96</v>
      </c>
      <c r="E40" s="143" t="s">
        <v>66</v>
      </c>
      <c r="F40" s="94">
        <f>SUM(H40:N40)</f>
        <v>0</v>
      </c>
      <c r="H40" s="172">
        <f>Aanmaningstarieven!H46</f>
        <v>0</v>
      </c>
      <c r="I40" s="213">
        <f>Aanmaningstarieven!I46</f>
        <v>0</v>
      </c>
      <c r="J40" s="213">
        <f>Aanmaningstarieven!J46</f>
        <v>0</v>
      </c>
      <c r="K40" s="223">
        <f>Aanmaningstarieven!K46</f>
        <v>0</v>
      </c>
      <c r="L40" s="173">
        <f>Aanmaningstarieven!L46</f>
        <v>0</v>
      </c>
      <c r="M40" s="173">
        <f>Aanmaningstarieven!M46</f>
        <v>0</v>
      </c>
      <c r="N40" s="173">
        <f>Aanmaningstarieven!N46</f>
        <v>0</v>
      </c>
    </row>
    <row r="41" spans="3:14" x14ac:dyDescent="0.25">
      <c r="C41" s="154" t="s">
        <v>52</v>
      </c>
      <c r="D41" s="155"/>
      <c r="F41" s="113"/>
      <c r="H41" s="138"/>
      <c r="I41" s="208"/>
      <c r="J41" s="208"/>
      <c r="K41" s="142"/>
      <c r="L41" s="227"/>
      <c r="M41" s="227"/>
      <c r="N41" s="164"/>
    </row>
    <row r="42" spans="3:14" x14ac:dyDescent="0.25">
      <c r="C42" s="154"/>
      <c r="D42" s="155" t="s">
        <v>79</v>
      </c>
      <c r="F42" s="171">
        <f>Aanmaningstarieven!F48</f>
        <v>0</v>
      </c>
      <c r="H42" s="180">
        <f t="shared" ref="H42:N42" si="15">IF(H43=0,$F42*H44,H43)</f>
        <v>0</v>
      </c>
      <c r="I42" s="240">
        <f t="shared" ref="I42:J42" si="16">IF(I43=0,$F42*I44,I43)</f>
        <v>0</v>
      </c>
      <c r="J42" s="240">
        <f t="shared" si="16"/>
        <v>0</v>
      </c>
      <c r="K42" s="254">
        <f t="shared" ref="K42" si="17">IF(K43=0,$F42*K44,K43)</f>
        <v>0</v>
      </c>
      <c r="L42" s="176">
        <f t="shared" si="15"/>
        <v>0</v>
      </c>
      <c r="M42" s="176">
        <f t="shared" si="15"/>
        <v>0</v>
      </c>
      <c r="N42" s="176">
        <f t="shared" si="15"/>
        <v>0</v>
      </c>
    </row>
    <row r="43" spans="3:14" x14ac:dyDescent="0.25">
      <c r="C43" s="154"/>
      <c r="D43" s="155" t="s">
        <v>95</v>
      </c>
      <c r="E43" s="143" t="s">
        <v>65</v>
      </c>
      <c r="F43" s="135">
        <f>SUM(H43:N43)</f>
        <v>0</v>
      </c>
      <c r="H43" s="181">
        <f>Aanmaningstarieven!H49</f>
        <v>0</v>
      </c>
      <c r="I43" s="212">
        <f>Aanmaningstarieven!I49</f>
        <v>0</v>
      </c>
      <c r="J43" s="212">
        <f>Aanmaningstarieven!J49</f>
        <v>0</v>
      </c>
      <c r="K43" s="222">
        <f>Aanmaningstarieven!K49</f>
        <v>0</v>
      </c>
      <c r="L43" s="175">
        <f>Aanmaningstarieven!L49</f>
        <v>0</v>
      </c>
      <c r="M43" s="175">
        <f>Aanmaningstarieven!M49</f>
        <v>0</v>
      </c>
      <c r="N43" s="175">
        <f>Aanmaningstarieven!N49</f>
        <v>0</v>
      </c>
    </row>
    <row r="44" spans="3:14" x14ac:dyDescent="0.25">
      <c r="C44" s="154"/>
      <c r="D44" s="155" t="s">
        <v>96</v>
      </c>
      <c r="E44" s="143" t="s">
        <v>66</v>
      </c>
      <c r="F44" s="94">
        <f>SUM(H44:N44)</f>
        <v>0</v>
      </c>
      <c r="H44" s="172">
        <f>Aanmaningstarieven!H50</f>
        <v>0</v>
      </c>
      <c r="I44" s="213">
        <f>Aanmaningstarieven!I50</f>
        <v>0</v>
      </c>
      <c r="J44" s="213">
        <f>Aanmaningstarieven!J50</f>
        <v>0</v>
      </c>
      <c r="K44" s="223">
        <f>Aanmaningstarieven!K50</f>
        <v>0</v>
      </c>
      <c r="L44" s="173">
        <f>Aanmaningstarieven!L50</f>
        <v>0</v>
      </c>
      <c r="M44" s="173">
        <f>Aanmaningstarieven!M50</f>
        <v>0</v>
      </c>
      <c r="N44" s="173">
        <f>Aanmaningstarieven!N50</f>
        <v>0</v>
      </c>
    </row>
    <row r="45" spans="3:14" x14ac:dyDescent="0.25">
      <c r="C45" s="157" t="s">
        <v>87</v>
      </c>
      <c r="D45" s="155"/>
      <c r="F45" s="113"/>
      <c r="H45" s="138"/>
      <c r="I45" s="208"/>
      <c r="J45" s="208"/>
      <c r="K45" s="142"/>
      <c r="L45" s="227"/>
      <c r="M45" s="227"/>
      <c r="N45" s="164"/>
    </row>
    <row r="46" spans="3:14" x14ac:dyDescent="0.25">
      <c r="C46" s="154"/>
      <c r="D46" s="155" t="s">
        <v>79</v>
      </c>
      <c r="F46" s="171">
        <f>Aanmaningstarieven!F52</f>
        <v>0</v>
      </c>
      <c r="H46" s="180">
        <f t="shared" ref="H46:N46" si="18">IF(H47=0,$F46*H48,H47)</f>
        <v>0</v>
      </c>
      <c r="I46" s="240">
        <f>IF(I47=0,$F46*I48,I47)</f>
        <v>0</v>
      </c>
      <c r="J46" s="240">
        <f>IF(J47=0,$F46*J48,J47)</f>
        <v>0</v>
      </c>
      <c r="K46" s="254">
        <f t="shared" ref="K46" si="19">IF(K47=0,$F46*K48,K47)</f>
        <v>0</v>
      </c>
      <c r="L46" s="176">
        <f t="shared" si="18"/>
        <v>0</v>
      </c>
      <c r="M46" s="176">
        <f t="shared" si="18"/>
        <v>0</v>
      </c>
      <c r="N46" s="176">
        <f t="shared" si="18"/>
        <v>0</v>
      </c>
    </row>
    <row r="47" spans="3:14" x14ac:dyDescent="0.25">
      <c r="C47" s="154"/>
      <c r="D47" s="155" t="s">
        <v>95</v>
      </c>
      <c r="E47" s="143" t="s">
        <v>65</v>
      </c>
      <c r="F47" s="135">
        <f>SUM(H47:N47)</f>
        <v>0</v>
      </c>
      <c r="H47" s="181">
        <f>Aanmaningstarieven!H53</f>
        <v>0</v>
      </c>
      <c r="I47" s="212">
        <f>Aanmaningstarieven!I53</f>
        <v>0</v>
      </c>
      <c r="J47" s="212">
        <f>Aanmaningstarieven!J53</f>
        <v>0</v>
      </c>
      <c r="K47" s="222">
        <f>Aanmaningstarieven!K53</f>
        <v>0</v>
      </c>
      <c r="L47" s="175">
        <f>Aanmaningstarieven!L53</f>
        <v>0</v>
      </c>
      <c r="M47" s="175">
        <f>Aanmaningstarieven!M53</f>
        <v>0</v>
      </c>
      <c r="N47" s="175">
        <f>Aanmaningstarieven!N53</f>
        <v>0</v>
      </c>
    </row>
    <row r="48" spans="3:14" x14ac:dyDescent="0.25">
      <c r="C48" s="154"/>
      <c r="D48" s="155" t="s">
        <v>96</v>
      </c>
      <c r="E48" s="143" t="s">
        <v>66</v>
      </c>
      <c r="F48" s="94">
        <f>SUM(H48:N48)</f>
        <v>0</v>
      </c>
      <c r="H48" s="172">
        <f>Aanmaningstarieven!H54</f>
        <v>0</v>
      </c>
      <c r="I48" s="213">
        <f>Aanmaningstarieven!I54</f>
        <v>0</v>
      </c>
      <c r="J48" s="213">
        <f>Aanmaningstarieven!J54</f>
        <v>0</v>
      </c>
      <c r="K48" s="223">
        <f>Aanmaningstarieven!K54</f>
        <v>0</v>
      </c>
      <c r="L48" s="173">
        <f>Aanmaningstarieven!L54</f>
        <v>0</v>
      </c>
      <c r="M48" s="173">
        <f>Aanmaningstarieven!M54</f>
        <v>0</v>
      </c>
      <c r="N48" s="173">
        <f>Aanmaningstarieven!N54</f>
        <v>0</v>
      </c>
    </row>
    <row r="49" spans="2:14" x14ac:dyDescent="0.25">
      <c r="C49" s="177" t="str">
        <f>Aanmaningstarieven!C55</f>
        <v>Voorbeeld overige</v>
      </c>
      <c r="D49" s="152"/>
      <c r="F49" s="113"/>
      <c r="H49" s="138"/>
      <c r="I49" s="208"/>
      <c r="J49" s="208"/>
      <c r="K49" s="142"/>
      <c r="L49" s="227"/>
      <c r="M49" s="227"/>
      <c r="N49" s="164"/>
    </row>
    <row r="50" spans="2:14" x14ac:dyDescent="0.25">
      <c r="C50" s="154"/>
      <c r="D50" s="155" t="s">
        <v>79</v>
      </c>
      <c r="F50" s="171">
        <f>Aanmaningstarieven!F56</f>
        <v>0</v>
      </c>
      <c r="H50" s="180">
        <f t="shared" ref="H50:N50" si="20">IF(H51=0,$F50*H52,H51)</f>
        <v>0</v>
      </c>
      <c r="I50" s="240">
        <f t="shared" ref="I50:J50" si="21">IF(I51=0,$F50*I52,I51)</f>
        <v>0</v>
      </c>
      <c r="J50" s="240">
        <f t="shared" si="21"/>
        <v>0</v>
      </c>
      <c r="K50" s="254">
        <f t="shared" ref="K50" si="22">IF(K51=0,$F50*K52,K51)</f>
        <v>0</v>
      </c>
      <c r="L50" s="176">
        <f t="shared" si="20"/>
        <v>0</v>
      </c>
      <c r="M50" s="176">
        <f t="shared" si="20"/>
        <v>0</v>
      </c>
      <c r="N50" s="176">
        <f t="shared" si="20"/>
        <v>0</v>
      </c>
    </row>
    <row r="51" spans="2:14" x14ac:dyDescent="0.25">
      <c r="C51" s="154"/>
      <c r="D51" s="155" t="s">
        <v>95</v>
      </c>
      <c r="E51" s="143" t="s">
        <v>65</v>
      </c>
      <c r="F51" s="135">
        <f>SUM(H51:N51)</f>
        <v>0</v>
      </c>
      <c r="H51" s="181">
        <f>Aanmaningstarieven!H57</f>
        <v>0</v>
      </c>
      <c r="I51" s="212">
        <f>Aanmaningstarieven!I57</f>
        <v>0</v>
      </c>
      <c r="J51" s="212">
        <f>Aanmaningstarieven!J57</f>
        <v>0</v>
      </c>
      <c r="K51" s="222">
        <f>Aanmaningstarieven!K57</f>
        <v>0</v>
      </c>
      <c r="L51" s="175">
        <f>Aanmaningstarieven!L57</f>
        <v>0</v>
      </c>
      <c r="M51" s="175">
        <f>Aanmaningstarieven!M57</f>
        <v>0</v>
      </c>
      <c r="N51" s="175">
        <f>Aanmaningstarieven!N57</f>
        <v>0</v>
      </c>
    </row>
    <row r="52" spans="2:14" x14ac:dyDescent="0.25">
      <c r="C52" s="154"/>
      <c r="D52" s="155" t="s">
        <v>96</v>
      </c>
      <c r="E52" s="143" t="s">
        <v>66</v>
      </c>
      <c r="F52" s="94">
        <f>SUM(H52:N52)</f>
        <v>0</v>
      </c>
      <c r="H52" s="172">
        <f>Aanmaningstarieven!H58</f>
        <v>0</v>
      </c>
      <c r="I52" s="213">
        <f>Aanmaningstarieven!I58</f>
        <v>0</v>
      </c>
      <c r="J52" s="213">
        <f>Aanmaningstarieven!J58</f>
        <v>0</v>
      </c>
      <c r="K52" s="223">
        <f>Aanmaningstarieven!K58</f>
        <v>0</v>
      </c>
      <c r="L52" s="173">
        <f>Aanmaningstarieven!L58</f>
        <v>0</v>
      </c>
      <c r="M52" s="173">
        <f>Aanmaningstarieven!M58</f>
        <v>0</v>
      </c>
      <c r="N52" s="173">
        <f>Aanmaningstarieven!N58</f>
        <v>0</v>
      </c>
    </row>
    <row r="53" spans="2:14" x14ac:dyDescent="0.25">
      <c r="C53" s="177" t="str">
        <f>Aanmaningstarieven!C59</f>
        <v>…</v>
      </c>
      <c r="D53" s="152"/>
      <c r="F53" s="113"/>
      <c r="H53" s="138"/>
      <c r="I53" s="208"/>
      <c r="J53" s="208"/>
      <c r="K53" s="142"/>
      <c r="L53" s="227"/>
      <c r="M53" s="227"/>
      <c r="N53" s="164"/>
    </row>
    <row r="54" spans="2:14" x14ac:dyDescent="0.25">
      <c r="C54" s="154"/>
      <c r="D54" s="155" t="s">
        <v>79</v>
      </c>
      <c r="F54" s="171">
        <f>Aanmaningstarieven!F60</f>
        <v>0</v>
      </c>
      <c r="H54" s="180">
        <f t="shared" ref="H54:N54" si="23">IF(H55=0,$F54*H56,H55)</f>
        <v>0</v>
      </c>
      <c r="I54" s="240">
        <f t="shared" ref="I54:J54" si="24">IF(I55=0,$F54*I56,I55)</f>
        <v>0</v>
      </c>
      <c r="J54" s="240">
        <f t="shared" si="24"/>
        <v>0</v>
      </c>
      <c r="K54" s="254">
        <f t="shared" ref="K54" si="25">IF(K55=0,$F54*K56,K55)</f>
        <v>0</v>
      </c>
      <c r="L54" s="176">
        <f t="shared" si="23"/>
        <v>0</v>
      </c>
      <c r="M54" s="176">
        <f t="shared" si="23"/>
        <v>0</v>
      </c>
      <c r="N54" s="176">
        <f t="shared" si="23"/>
        <v>0</v>
      </c>
    </row>
    <row r="55" spans="2:14" x14ac:dyDescent="0.25">
      <c r="C55" s="154"/>
      <c r="D55" s="155" t="s">
        <v>95</v>
      </c>
      <c r="E55" s="143" t="s">
        <v>65</v>
      </c>
      <c r="F55" s="135">
        <f>SUM(H55:N55)</f>
        <v>0</v>
      </c>
      <c r="H55" s="181">
        <f>Aanmaningstarieven!H61</f>
        <v>0</v>
      </c>
      <c r="I55" s="212">
        <f>Aanmaningstarieven!I61</f>
        <v>0</v>
      </c>
      <c r="J55" s="212">
        <f>Aanmaningstarieven!J61</f>
        <v>0</v>
      </c>
      <c r="K55" s="222">
        <f>Aanmaningstarieven!K61</f>
        <v>0</v>
      </c>
      <c r="L55" s="175">
        <f>Aanmaningstarieven!L61</f>
        <v>0</v>
      </c>
      <c r="M55" s="175">
        <f>Aanmaningstarieven!M61</f>
        <v>0</v>
      </c>
      <c r="N55" s="175">
        <f>Aanmaningstarieven!N61</f>
        <v>0</v>
      </c>
    </row>
    <row r="56" spans="2:14" x14ac:dyDescent="0.25">
      <c r="C56" s="154"/>
      <c r="D56" s="155" t="s">
        <v>96</v>
      </c>
      <c r="E56" s="143" t="s">
        <v>66</v>
      </c>
      <c r="F56" s="94">
        <f>SUM(H56:N56)</f>
        <v>0</v>
      </c>
      <c r="H56" s="172">
        <f>Aanmaningstarieven!H62</f>
        <v>0</v>
      </c>
      <c r="I56" s="213">
        <f>Aanmaningstarieven!I62</f>
        <v>0</v>
      </c>
      <c r="J56" s="213">
        <f>Aanmaningstarieven!J62</f>
        <v>0</v>
      </c>
      <c r="K56" s="223">
        <f>Aanmaningstarieven!K62</f>
        <v>0</v>
      </c>
      <c r="L56" s="173">
        <f>Aanmaningstarieven!L62</f>
        <v>0</v>
      </c>
      <c r="M56" s="173">
        <f>Aanmaningstarieven!M62</f>
        <v>0</v>
      </c>
      <c r="N56" s="173">
        <f>Aanmaningstarieven!N62</f>
        <v>0</v>
      </c>
    </row>
    <row r="57" spans="2:14" x14ac:dyDescent="0.25">
      <c r="C57" s="154"/>
      <c r="D57" s="155"/>
      <c r="F57" s="94"/>
      <c r="H57" s="172"/>
      <c r="I57" s="213"/>
      <c r="J57" s="213"/>
      <c r="K57" s="223"/>
      <c r="L57" s="173"/>
      <c r="M57" s="173"/>
      <c r="N57" s="173"/>
    </row>
    <row r="58" spans="2:14" x14ac:dyDescent="0.25">
      <c r="B58" s="190" t="s">
        <v>98</v>
      </c>
      <c r="C58" s="190"/>
      <c r="D58" s="188"/>
      <c r="E58" s="189"/>
      <c r="F58" s="195">
        <f>SUM(H58:N58)</f>
        <v>0</v>
      </c>
      <c r="G58" s="190"/>
      <c r="H58" s="191">
        <f>H30+H34+H38+H42+H46+H50+H54</f>
        <v>0</v>
      </c>
      <c r="I58" s="242">
        <f t="shared" ref="I58:K58" si="26">I30+I34+I38+I42+I46+I50+I54</f>
        <v>0</v>
      </c>
      <c r="J58" s="242">
        <f t="shared" ref="J58" si="27">J30+J34+J38+J42+J46+J50+J54</f>
        <v>0</v>
      </c>
      <c r="K58" s="198">
        <f t="shared" si="26"/>
        <v>0</v>
      </c>
      <c r="L58" s="251">
        <f t="shared" ref="L58:N58" si="28">L30+L34+L38+L42+L46+L50+L54</f>
        <v>0</v>
      </c>
      <c r="M58" s="251">
        <f t="shared" si="28"/>
        <v>0</v>
      </c>
      <c r="N58" s="193">
        <f t="shared" si="28"/>
        <v>0</v>
      </c>
    </row>
    <row r="59" spans="2:14" ht="13.8" thickBot="1" x14ac:dyDescent="0.3">
      <c r="C59" s="154"/>
      <c r="D59" s="155"/>
      <c r="F59" s="94"/>
      <c r="H59" s="159"/>
      <c r="I59" s="215"/>
      <c r="J59" s="215"/>
      <c r="K59" s="225"/>
      <c r="L59" s="230"/>
      <c r="M59" s="230"/>
      <c r="N59" s="166"/>
    </row>
    <row r="60" spans="2:14" x14ac:dyDescent="0.25">
      <c r="C60" s="154"/>
      <c r="D60" s="155"/>
      <c r="F60" s="94"/>
      <c r="H60" s="199"/>
      <c r="I60" s="199"/>
      <c r="J60" s="199"/>
      <c r="K60" s="199"/>
      <c r="L60" s="199"/>
      <c r="M60" s="199"/>
      <c r="N60" s="200"/>
    </row>
    <row r="61" spans="2:14" ht="26.4" x14ac:dyDescent="0.25">
      <c r="C61" s="154"/>
      <c r="D61" s="155"/>
      <c r="F61" s="94"/>
      <c r="H61" s="247" t="str">
        <f>+H12</f>
        <v>Debiteuren-beheer</v>
      </c>
      <c r="I61" s="248"/>
      <c r="J61" s="248"/>
      <c r="K61" s="248"/>
      <c r="L61" s="248"/>
      <c r="M61" s="249"/>
      <c r="N61" s="162" t="str">
        <f>+N12</f>
        <v>Overige activiteiten</v>
      </c>
    </row>
    <row r="62" spans="2:14" ht="26.4" x14ac:dyDescent="0.25">
      <c r="B62" s="1" t="s">
        <v>100</v>
      </c>
      <c r="F62" s="143"/>
      <c r="H62" s="250" t="str">
        <f>+H13</f>
        <v>Aanmanings-cyclus</v>
      </c>
      <c r="I62" s="218"/>
      <c r="J62" s="218"/>
      <c r="K62" s="218"/>
      <c r="L62" s="226" t="str">
        <f>+L13</f>
        <v>Invorderings-cyclus</v>
      </c>
      <c r="M62" s="226" t="str">
        <f>+M13</f>
        <v>Boekhoudkundige verwerking</v>
      </c>
      <c r="N62" s="153" t="s">
        <v>53</v>
      </c>
    </row>
    <row r="63" spans="2:14" x14ac:dyDescent="0.25">
      <c r="F63" s="150" t="s">
        <v>14</v>
      </c>
      <c r="H63" s="245" t="str">
        <f>+H14</f>
        <v>1ste herinnering</v>
      </c>
      <c r="I63" s="246" t="str">
        <f t="shared" ref="I63:K63" si="29">+I14</f>
        <v>2de herinnering</v>
      </c>
      <c r="J63" s="246" t="str">
        <f t="shared" si="29"/>
        <v>Incasso</v>
      </c>
      <c r="K63" s="253" t="str">
        <f t="shared" si="29"/>
        <v>Ingebrekestelling</v>
      </c>
      <c r="L63" s="226"/>
      <c r="M63" s="226"/>
      <c r="N63" s="153"/>
    </row>
    <row r="64" spans="2:14" x14ac:dyDescent="0.25">
      <c r="F64" s="143"/>
      <c r="H64" s="245"/>
      <c r="I64" s="246"/>
      <c r="J64" s="253"/>
      <c r="K64" s="253"/>
      <c r="L64" s="226"/>
      <c r="M64" s="226"/>
      <c r="N64" s="153"/>
    </row>
    <row r="65" spans="2:15" x14ac:dyDescent="0.25">
      <c r="D65" s="133" t="str">
        <f>+B25</f>
        <v>Totaal Personeelskosten</v>
      </c>
      <c r="F65" s="257">
        <f>SUM(H65:N65)</f>
        <v>0</v>
      </c>
      <c r="H65" s="259">
        <f>H25</f>
        <v>0</v>
      </c>
      <c r="I65" s="263">
        <f t="shared" ref="I65:K65" si="30">I25</f>
        <v>0</v>
      </c>
      <c r="J65" s="263">
        <f t="shared" ref="J65" si="31">J25</f>
        <v>0</v>
      </c>
      <c r="K65" s="271">
        <f t="shared" si="30"/>
        <v>0</v>
      </c>
      <c r="L65" s="260">
        <f>L25</f>
        <v>0</v>
      </c>
      <c r="M65" s="260">
        <f>M25</f>
        <v>0</v>
      </c>
      <c r="N65" s="258">
        <f>N25</f>
        <v>0</v>
      </c>
    </row>
    <row r="66" spans="2:15" x14ac:dyDescent="0.25">
      <c r="D66" s="133" t="str">
        <f>+B58</f>
        <v>Totaal Diensten en diverse goederen</v>
      </c>
      <c r="F66" s="257">
        <f>SUM(H66:N66)</f>
        <v>0</v>
      </c>
      <c r="H66" s="174">
        <f>H58</f>
        <v>0</v>
      </c>
      <c r="I66" s="186">
        <f t="shared" ref="I66:K66" si="32">I58</f>
        <v>0</v>
      </c>
      <c r="J66" s="186">
        <f t="shared" ref="J66" si="33">J58</f>
        <v>0</v>
      </c>
      <c r="K66" s="272">
        <f t="shared" si="32"/>
        <v>0</v>
      </c>
      <c r="L66" s="252">
        <f>L58</f>
        <v>0</v>
      </c>
      <c r="M66" s="252">
        <f>M58</f>
        <v>0</v>
      </c>
      <c r="N66" s="252">
        <f>N58</f>
        <v>0</v>
      </c>
      <c r="O66" s="197"/>
    </row>
    <row r="67" spans="2:15" x14ac:dyDescent="0.25">
      <c r="C67" s="201"/>
      <c r="D67" s="202" t="s">
        <v>14</v>
      </c>
      <c r="E67" s="194" t="s">
        <v>65</v>
      </c>
      <c r="F67" s="256">
        <f>SUM(H67:N67)</f>
        <v>0</v>
      </c>
      <c r="G67" s="204"/>
      <c r="H67" s="261">
        <f>SUM(H65:H66)</f>
        <v>0</v>
      </c>
      <c r="I67" s="264">
        <f t="shared" ref="I67:K67" si="34">SUM(I65:I66)</f>
        <v>0</v>
      </c>
      <c r="J67" s="264">
        <f t="shared" ref="J67" si="35">SUM(J65:J66)</f>
        <v>0</v>
      </c>
      <c r="K67" s="273">
        <f t="shared" si="34"/>
        <v>0</v>
      </c>
      <c r="L67" s="262">
        <f t="shared" ref="L67:N67" si="36">SUM(L65:L66)</f>
        <v>0</v>
      </c>
      <c r="M67" s="262">
        <f t="shared" si="36"/>
        <v>0</v>
      </c>
      <c r="N67" s="262">
        <f t="shared" si="36"/>
        <v>0</v>
      </c>
    </row>
    <row r="68" spans="2:15" x14ac:dyDescent="0.25">
      <c r="C68" s="201"/>
      <c r="D68" s="202" t="s">
        <v>101</v>
      </c>
      <c r="E68" s="194" t="s">
        <v>66</v>
      </c>
      <c r="F68" s="203" t="e">
        <f>SUM(H68:N68)</f>
        <v>#DIV/0!</v>
      </c>
      <c r="G68" s="204"/>
      <c r="H68" s="265" t="e">
        <f>+H67/$F$67</f>
        <v>#DIV/0!</v>
      </c>
      <c r="I68" s="266" t="e">
        <f t="shared" ref="I68:N68" si="37">+I67/$F$67</f>
        <v>#DIV/0!</v>
      </c>
      <c r="J68" s="266" t="e">
        <f t="shared" ref="J68" si="38">+J67/$F$67</f>
        <v>#DIV/0!</v>
      </c>
      <c r="K68" s="274" t="e">
        <f t="shared" si="37"/>
        <v>#DIV/0!</v>
      </c>
      <c r="L68" s="281" t="e">
        <f t="shared" si="37"/>
        <v>#DIV/0!</v>
      </c>
      <c r="M68" s="281" t="e">
        <f t="shared" si="37"/>
        <v>#DIV/0!</v>
      </c>
      <c r="N68" s="281" t="e">
        <f t="shared" si="37"/>
        <v>#DIV/0!</v>
      </c>
    </row>
    <row r="69" spans="2:15" x14ac:dyDescent="0.25">
      <c r="C69" s="154"/>
      <c r="D69" s="155"/>
      <c r="F69" s="94"/>
      <c r="H69" s="182"/>
      <c r="I69" s="183"/>
      <c r="J69" s="275"/>
      <c r="K69" s="275"/>
      <c r="L69" s="163"/>
      <c r="M69" s="163"/>
      <c r="N69" s="164"/>
    </row>
    <row r="70" spans="2:15" x14ac:dyDescent="0.25">
      <c r="C70" s="154"/>
      <c r="D70" s="155"/>
      <c r="F70" s="94"/>
      <c r="H70" s="182"/>
      <c r="I70" s="183"/>
      <c r="J70" s="275"/>
      <c r="K70" s="275"/>
      <c r="L70" s="163"/>
      <c r="M70" s="163"/>
      <c r="N70" s="164"/>
    </row>
    <row r="71" spans="2:15" x14ac:dyDescent="0.25">
      <c r="B71" s="1" t="s">
        <v>102</v>
      </c>
      <c r="C71" s="154"/>
      <c r="D71" s="155"/>
      <c r="F71" s="94"/>
      <c r="H71" s="138"/>
      <c r="I71" s="139"/>
      <c r="J71" s="276"/>
      <c r="K71" s="276"/>
      <c r="L71" s="227"/>
      <c r="M71" s="227"/>
      <c r="N71" s="227"/>
    </row>
    <row r="72" spans="2:15" x14ac:dyDescent="0.25">
      <c r="C72" s="157" t="s">
        <v>91</v>
      </c>
      <c r="D72" s="155"/>
      <c r="F72" s="150"/>
      <c r="H72" s="267"/>
      <c r="I72" s="268"/>
      <c r="J72" s="277"/>
      <c r="K72" s="277"/>
      <c r="L72" s="282"/>
      <c r="M72" s="282"/>
      <c r="N72" s="282"/>
    </row>
    <row r="73" spans="2:15" x14ac:dyDescent="0.25">
      <c r="C73" s="154"/>
      <c r="D73" s="184" t="str">
        <f>Aanmaningstarieven!D67</f>
        <v>Kosten mbt …</v>
      </c>
      <c r="E73" s="152"/>
      <c r="F73" s="171">
        <f>Aanmaningstarieven!F67</f>
        <v>0</v>
      </c>
      <c r="H73" s="269" t="e">
        <f>+$F73*H$68</f>
        <v>#DIV/0!</v>
      </c>
      <c r="I73" s="270" t="e">
        <f t="shared" ref="I73:K74" si="39">+$F73*I$68</f>
        <v>#DIV/0!</v>
      </c>
      <c r="J73" s="270" t="e">
        <f t="shared" si="39"/>
        <v>#DIV/0!</v>
      </c>
      <c r="K73" s="278" t="e">
        <f t="shared" si="39"/>
        <v>#DIV/0!</v>
      </c>
      <c r="L73" s="283" t="e">
        <f t="shared" ref="L73:N74" si="40">+$F73*L$68</f>
        <v>#DIV/0!</v>
      </c>
      <c r="M73" s="283" t="e">
        <f t="shared" si="40"/>
        <v>#DIV/0!</v>
      </c>
      <c r="N73" s="283" t="e">
        <f t="shared" si="40"/>
        <v>#DIV/0!</v>
      </c>
    </row>
    <row r="74" spans="2:15" x14ac:dyDescent="0.25">
      <c r="C74" s="154"/>
      <c r="D74" s="184" t="str">
        <f>Aanmaningstarieven!D68</f>
        <v>Kosten mbt …</v>
      </c>
      <c r="E74" s="152"/>
      <c r="F74" s="171">
        <f>Aanmaningstarieven!F68</f>
        <v>0</v>
      </c>
      <c r="H74" s="269" t="e">
        <f>+$F74*H$68</f>
        <v>#DIV/0!</v>
      </c>
      <c r="I74" s="270" t="e">
        <f t="shared" si="39"/>
        <v>#DIV/0!</v>
      </c>
      <c r="J74" s="270" t="e">
        <f t="shared" si="39"/>
        <v>#DIV/0!</v>
      </c>
      <c r="K74" s="278" t="e">
        <f t="shared" si="39"/>
        <v>#DIV/0!</v>
      </c>
      <c r="L74" s="283" t="e">
        <f t="shared" si="40"/>
        <v>#DIV/0!</v>
      </c>
      <c r="M74" s="283" t="e">
        <f t="shared" si="40"/>
        <v>#DIV/0!</v>
      </c>
      <c r="N74" s="283" t="e">
        <f t="shared" si="40"/>
        <v>#DIV/0!</v>
      </c>
    </row>
    <row r="75" spans="2:15" x14ac:dyDescent="0.25">
      <c r="C75" s="201"/>
      <c r="D75" s="202" t="s">
        <v>14</v>
      </c>
      <c r="E75" s="194" t="s">
        <v>65</v>
      </c>
      <c r="F75" s="256" t="e">
        <f>SUM(H75:N75)</f>
        <v>#DIV/0!</v>
      </c>
      <c r="G75" s="204"/>
      <c r="H75" s="191" t="e">
        <f>SUM(H73:H74)</f>
        <v>#DIV/0!</v>
      </c>
      <c r="I75" s="192" t="e">
        <f t="shared" ref="I75:K75" si="41">SUM(I73:I74)</f>
        <v>#DIV/0!</v>
      </c>
      <c r="J75" s="192" t="e">
        <f t="shared" ref="J75" si="42">SUM(J73:J74)</f>
        <v>#DIV/0!</v>
      </c>
      <c r="K75" s="279" t="e">
        <f t="shared" si="41"/>
        <v>#DIV/0!</v>
      </c>
      <c r="L75" s="251" t="e">
        <f t="shared" ref="L75" si="43">SUM(L73:L74)</f>
        <v>#DIV/0!</v>
      </c>
      <c r="M75" s="251" t="e">
        <f t="shared" ref="M75" si="44">SUM(M73:M74)</f>
        <v>#DIV/0!</v>
      </c>
      <c r="N75" s="251" t="e">
        <f t="shared" ref="N75" si="45">SUM(N73:N74)</f>
        <v>#DIV/0!</v>
      </c>
    </row>
    <row r="76" spans="2:15" x14ac:dyDescent="0.25">
      <c r="C76" s="201"/>
      <c r="D76" s="202" t="s">
        <v>101</v>
      </c>
      <c r="E76" s="194" t="s">
        <v>66</v>
      </c>
      <c r="F76" s="203" t="e">
        <f>SUM(H76:N76)</f>
        <v>#DIV/0!</v>
      </c>
      <c r="G76" s="204"/>
      <c r="H76" s="284" t="e">
        <f>+H75/$F$75</f>
        <v>#DIV/0!</v>
      </c>
      <c r="I76" s="285" t="e">
        <f t="shared" ref="I76:N76" si="46">+I75/$F$75</f>
        <v>#DIV/0!</v>
      </c>
      <c r="J76" s="285" t="e">
        <f t="shared" ref="J76" si="47">+J75/$F$75</f>
        <v>#DIV/0!</v>
      </c>
      <c r="K76" s="286" t="e">
        <f t="shared" si="46"/>
        <v>#DIV/0!</v>
      </c>
      <c r="L76" s="287" t="e">
        <f t="shared" si="46"/>
        <v>#DIV/0!</v>
      </c>
      <c r="M76" s="287" t="e">
        <f t="shared" si="46"/>
        <v>#DIV/0!</v>
      </c>
      <c r="N76" s="287" t="e">
        <f t="shared" si="46"/>
        <v>#DIV/0!</v>
      </c>
    </row>
    <row r="77" spans="2:15" x14ac:dyDescent="0.25">
      <c r="C77" s="157"/>
      <c r="D77" s="288"/>
      <c r="E77" s="168"/>
      <c r="F77" s="289"/>
      <c r="G77" s="6"/>
      <c r="H77" s="290"/>
      <c r="I77" s="291"/>
      <c r="J77" s="291"/>
      <c r="K77" s="292"/>
      <c r="L77" s="293"/>
      <c r="M77" s="293"/>
      <c r="N77" s="293"/>
    </row>
    <row r="78" spans="2:15" x14ac:dyDescent="0.25">
      <c r="B78" s="1" t="s">
        <v>112</v>
      </c>
      <c r="C78" s="157"/>
      <c r="D78" s="288"/>
      <c r="E78" s="168"/>
      <c r="F78" s="289"/>
      <c r="G78" s="6"/>
      <c r="H78" s="290"/>
      <c r="I78" s="291"/>
      <c r="J78" s="291"/>
      <c r="K78" s="292"/>
      <c r="L78" s="293"/>
      <c r="M78" s="293"/>
      <c r="N78" s="293"/>
    </row>
    <row r="79" spans="2:15" x14ac:dyDescent="0.25">
      <c r="C79" s="157" t="s">
        <v>111</v>
      </c>
      <c r="D79" s="155"/>
      <c r="F79" s="113"/>
      <c r="H79" s="138"/>
      <c r="I79" s="208"/>
      <c r="J79" s="208"/>
      <c r="K79" s="142"/>
      <c r="L79" s="227"/>
      <c r="M79" s="227"/>
      <c r="N79" s="164"/>
    </row>
    <row r="80" spans="2:15" x14ac:dyDescent="0.25">
      <c r="C80" s="154"/>
      <c r="D80" s="155" t="s">
        <v>79</v>
      </c>
      <c r="F80" s="171">
        <f>Aanmaningstarieven!F72</f>
        <v>0</v>
      </c>
      <c r="H80" s="180">
        <f>IF(H81=0,$F80*H82,H81)</f>
        <v>0</v>
      </c>
      <c r="I80" s="240">
        <f>IF(I81=0,$F80*I82,I81)</f>
        <v>0</v>
      </c>
      <c r="J80" s="240">
        <f>IF(J81=0,$F80*J82,J81)</f>
        <v>0</v>
      </c>
      <c r="K80" s="254">
        <f t="shared" ref="K80:N80" si="48">IF(K81=0,$F80*K82,K81)</f>
        <v>0</v>
      </c>
      <c r="L80" s="176">
        <f t="shared" si="48"/>
        <v>0</v>
      </c>
      <c r="M80" s="176">
        <f t="shared" si="48"/>
        <v>0</v>
      </c>
      <c r="N80" s="176">
        <f t="shared" si="48"/>
        <v>0</v>
      </c>
    </row>
    <row r="81" spans="1:15" x14ac:dyDescent="0.25">
      <c r="C81" s="154"/>
      <c r="D81" s="155" t="s">
        <v>95</v>
      </c>
      <c r="E81" s="143" t="s">
        <v>65</v>
      </c>
      <c r="F81" s="135">
        <f>SUM(H81:N81)</f>
        <v>0</v>
      </c>
      <c r="H81" s="181">
        <f>Aanmaningstarieven!H73</f>
        <v>0</v>
      </c>
      <c r="I81" s="212">
        <f>Aanmaningstarieven!I73</f>
        <v>0</v>
      </c>
      <c r="J81" s="212">
        <f>Aanmaningstarieven!J73</f>
        <v>0</v>
      </c>
      <c r="K81" s="222">
        <f>Aanmaningstarieven!K73</f>
        <v>0</v>
      </c>
      <c r="L81" s="175">
        <f>Aanmaningstarieven!L73</f>
        <v>0</v>
      </c>
      <c r="M81" s="175">
        <f>Aanmaningstarieven!M73</f>
        <v>0</v>
      </c>
      <c r="N81" s="175">
        <f>Aanmaningstarieven!N73</f>
        <v>0</v>
      </c>
    </row>
    <row r="82" spans="1:15" x14ac:dyDescent="0.25">
      <c r="C82" s="154"/>
      <c r="D82" s="155" t="s">
        <v>96</v>
      </c>
      <c r="E82" s="143" t="s">
        <v>66</v>
      </c>
      <c r="F82" s="94">
        <f>SUM(H82:N82)</f>
        <v>0</v>
      </c>
      <c r="H82" s="172">
        <f>Aanmaningstarieven!H74</f>
        <v>0</v>
      </c>
      <c r="I82" s="213">
        <f>Aanmaningstarieven!I74</f>
        <v>0</v>
      </c>
      <c r="J82" s="213">
        <f>Aanmaningstarieven!J74</f>
        <v>0</v>
      </c>
      <c r="K82" s="223">
        <f>Aanmaningstarieven!K74</f>
        <v>0</v>
      </c>
      <c r="L82" s="173">
        <f>Aanmaningstarieven!L74</f>
        <v>0</v>
      </c>
      <c r="M82" s="173">
        <f>Aanmaningstarieven!M74</f>
        <v>0</v>
      </c>
      <c r="N82" s="173">
        <f>Aanmaningstarieven!N74</f>
        <v>0</v>
      </c>
    </row>
    <row r="83" spans="1:15" x14ac:dyDescent="0.25">
      <c r="C83" s="201"/>
      <c r="D83" s="202" t="s">
        <v>14</v>
      </c>
      <c r="E83" s="194" t="s">
        <v>65</v>
      </c>
      <c r="F83" s="256">
        <f>SUM(H83:N83)</f>
        <v>0</v>
      </c>
      <c r="G83" s="204"/>
      <c r="H83" s="261">
        <f t="shared" ref="H83:N83" si="49">H80</f>
        <v>0</v>
      </c>
      <c r="I83" s="264">
        <f t="shared" si="49"/>
        <v>0</v>
      </c>
      <c r="J83" s="264">
        <f>J80</f>
        <v>0</v>
      </c>
      <c r="K83" s="273">
        <f t="shared" si="49"/>
        <v>0</v>
      </c>
      <c r="L83" s="262">
        <f t="shared" si="49"/>
        <v>0</v>
      </c>
      <c r="M83" s="262">
        <f t="shared" si="49"/>
        <v>0</v>
      </c>
      <c r="N83" s="262">
        <f t="shared" si="49"/>
        <v>0</v>
      </c>
    </row>
    <row r="84" spans="1:15" x14ac:dyDescent="0.25">
      <c r="C84" s="201"/>
      <c r="D84" s="202" t="s">
        <v>101</v>
      </c>
      <c r="E84" s="194" t="s">
        <v>66</v>
      </c>
      <c r="F84" s="203" t="e">
        <f>SUM(H84:N84)</f>
        <v>#DIV/0!</v>
      </c>
      <c r="G84" s="204"/>
      <c r="H84" s="265" t="e">
        <f>+H83/$F$83</f>
        <v>#DIV/0!</v>
      </c>
      <c r="I84" s="266" t="e">
        <f t="shared" ref="I84:M84" si="50">+I83/$F$83</f>
        <v>#DIV/0!</v>
      </c>
      <c r="J84" s="266" t="e">
        <f>+J83/$F$83</f>
        <v>#DIV/0!</v>
      </c>
      <c r="K84" s="274" t="e">
        <f t="shared" si="50"/>
        <v>#DIV/0!</v>
      </c>
      <c r="L84" s="281" t="e">
        <f t="shared" si="50"/>
        <v>#DIV/0!</v>
      </c>
      <c r="M84" s="281" t="e">
        <f t="shared" si="50"/>
        <v>#DIV/0!</v>
      </c>
      <c r="N84" s="281" t="e">
        <f>+N83/$F$83</f>
        <v>#DIV/0!</v>
      </c>
    </row>
    <row r="85" spans="1:15" x14ac:dyDescent="0.25">
      <c r="C85" s="157"/>
      <c r="D85" s="288"/>
      <c r="E85" s="168"/>
      <c r="F85" s="289"/>
      <c r="G85" s="6"/>
      <c r="H85" s="290"/>
      <c r="I85" s="291"/>
      <c r="J85" s="291"/>
      <c r="K85" s="292"/>
      <c r="L85" s="293"/>
      <c r="M85" s="293"/>
      <c r="N85" s="293"/>
    </row>
    <row r="86" spans="1:15" x14ac:dyDescent="0.25">
      <c r="C86" s="157"/>
      <c r="D86" s="288"/>
      <c r="E86" s="168"/>
      <c r="F86" s="289"/>
      <c r="G86" s="6"/>
      <c r="H86" s="290"/>
      <c r="I86" s="291"/>
      <c r="J86" s="291"/>
      <c r="K86" s="292"/>
      <c r="L86" s="293"/>
      <c r="M86" s="293"/>
      <c r="N86" s="293"/>
    </row>
    <row r="87" spans="1:15" x14ac:dyDescent="0.25">
      <c r="B87" s="190" t="s">
        <v>114</v>
      </c>
      <c r="C87" s="201"/>
      <c r="D87" s="202"/>
      <c r="E87" s="194"/>
      <c r="F87" s="294" t="e">
        <f>SUM(H87:N87)</f>
        <v>#DIV/0!</v>
      </c>
      <c r="G87" s="190"/>
      <c r="H87" s="295" t="e">
        <f>+H67+H75+H83</f>
        <v>#DIV/0!</v>
      </c>
      <c r="I87" s="296" t="e">
        <f t="shared" ref="I87:M87" si="51">+I67+I75+I83</f>
        <v>#DIV/0!</v>
      </c>
      <c r="J87" s="296" t="e">
        <f t="shared" si="51"/>
        <v>#DIV/0!</v>
      </c>
      <c r="K87" s="297" t="e">
        <f>+K67+K75+K83</f>
        <v>#DIV/0!</v>
      </c>
      <c r="L87" s="298" t="e">
        <f t="shared" si="51"/>
        <v>#DIV/0!</v>
      </c>
      <c r="M87" s="298" t="e">
        <f t="shared" si="51"/>
        <v>#DIV/0!</v>
      </c>
      <c r="N87" s="298" t="e">
        <f>+N67+N75+N83</f>
        <v>#DIV/0!</v>
      </c>
    </row>
    <row r="88" spans="1:15" ht="13.8" thickBot="1" x14ac:dyDescent="0.3">
      <c r="F88" s="143"/>
      <c r="H88" s="159"/>
      <c r="I88" s="160"/>
      <c r="J88" s="160"/>
      <c r="K88" s="280"/>
      <c r="L88" s="230"/>
      <c r="M88" s="230"/>
      <c r="N88" s="166"/>
    </row>
    <row r="89" spans="1:15" x14ac:dyDescent="0.25">
      <c r="F89" s="143"/>
    </row>
    <row r="90" spans="1:15" x14ac:dyDescent="0.25">
      <c r="A90" s="130" t="s">
        <v>93</v>
      </c>
      <c r="F90" s="143"/>
      <c r="H90"/>
      <c r="I90" s="113"/>
      <c r="J90" s="113"/>
      <c r="K90" s="113"/>
      <c r="L90"/>
      <c r="M90"/>
      <c r="N90"/>
    </row>
    <row r="91" spans="1:15" x14ac:dyDescent="0.25">
      <c r="C91" s="132" t="s">
        <v>92</v>
      </c>
      <c r="F91" s="168"/>
      <c r="G91" s="6"/>
      <c r="H91" s="196"/>
      <c r="I91" s="196"/>
      <c r="J91" s="196"/>
      <c r="K91" s="196"/>
      <c r="L91"/>
      <c r="M91"/>
      <c r="N91"/>
    </row>
    <row r="92" spans="1:15" x14ac:dyDescent="0.25">
      <c r="D92" s="133" t="str">
        <f>L13</f>
        <v>Invorderings-cyclus</v>
      </c>
      <c r="F92" s="185" t="str">
        <f>Aanmaningstarieven!F78</f>
        <v>Ja</v>
      </c>
      <c r="H92" s="72" t="e">
        <f>IF($F$92="Ja",$L$87*(H87/SUM($H$87:$K$87)),0)</f>
        <v>#DIV/0!</v>
      </c>
      <c r="I92" s="72" t="e">
        <f>IF($F$92="Ja",$L$87*(I87/SUM($H$87:$K$87)),0)</f>
        <v>#DIV/0!</v>
      </c>
      <c r="J92" s="72" t="e">
        <f>IF($F$92="Ja",$L$87*(J87/SUM($H$87:$K$87)),0)</f>
        <v>#DIV/0!</v>
      </c>
      <c r="K92" s="72" t="e">
        <f>IF($F$92="Ja",$L$87*(K87/SUM($H$87:$K$87)),0)</f>
        <v>#DIV/0!</v>
      </c>
      <c r="L92" s="72"/>
      <c r="M92" s="6"/>
      <c r="N92" s="6"/>
    </row>
    <row r="93" spans="1:15" x14ac:dyDescent="0.25">
      <c r="D93" s="133" t="str">
        <f>M13</f>
        <v>Boekhoudkundige verwerking</v>
      </c>
      <c r="F93" s="185" t="str">
        <f>Aanmaningstarieven!F79</f>
        <v>Ja</v>
      </c>
      <c r="H93" s="72" t="e">
        <f>IF($F$93="Ja",$M$87*(H87/SUM($H$87:$K$87)),0)</f>
        <v>#DIV/0!</v>
      </c>
      <c r="I93" s="72" t="e">
        <f>IF($F$93="Ja",$M$87*(I87/SUM($H$87:$K$87)),0)</f>
        <v>#DIV/0!</v>
      </c>
      <c r="J93" s="72" t="e">
        <f>IF($F$93="Ja",$M$87*(J87/SUM($H$87:$K$87)),0)</f>
        <v>#DIV/0!</v>
      </c>
      <c r="K93" s="72" t="e">
        <f>IF($F$93="Ja",$M$87*(K87/SUM($H$87:$K$87)),0)</f>
        <v>#DIV/0!</v>
      </c>
      <c r="M93" s="72"/>
      <c r="N93" s="6"/>
    </row>
    <row r="94" spans="1:15" ht="15.6" customHeight="1" x14ac:dyDescent="0.25">
      <c r="F94" s="143"/>
    </row>
    <row r="95" spans="1:15" x14ac:dyDescent="0.25">
      <c r="A95" s="130" t="s">
        <v>105</v>
      </c>
      <c r="B95"/>
      <c r="C95"/>
      <c r="D95"/>
      <c r="E95"/>
      <c r="F95"/>
      <c r="G95"/>
      <c r="H95"/>
      <c r="I95"/>
      <c r="J95" s="113"/>
      <c r="K95"/>
      <c r="L95"/>
      <c r="M95"/>
      <c r="N95"/>
      <c r="O95"/>
    </row>
    <row r="96" spans="1:15" x14ac:dyDescent="0.25">
      <c r="A96"/>
      <c r="B96"/>
      <c r="C96"/>
      <c r="D96" t="s">
        <v>106</v>
      </c>
      <c r="E96"/>
      <c r="F96"/>
      <c r="G96"/>
      <c r="H96" s="135" t="e">
        <f>+SUM(H87:H95)</f>
        <v>#DIV/0!</v>
      </c>
      <c r="I96" s="135" t="e">
        <f>+SUM(I87:I95)</f>
        <v>#DIV/0!</v>
      </c>
      <c r="J96" s="135" t="e">
        <f>+SUM(J87:J95)</f>
        <v>#DIV/0!</v>
      </c>
      <c r="K96" s="135" t="e">
        <f>+SUM(K87:K95)</f>
        <v>#DIV/0!</v>
      </c>
      <c r="L96"/>
      <c r="M96"/>
      <c r="N96"/>
      <c r="O96"/>
    </row>
    <row r="97" spans="1:15" x14ac:dyDescent="0.25">
      <c r="A97"/>
      <c r="B97"/>
      <c r="C97"/>
      <c r="D97" t="s">
        <v>59</v>
      </c>
      <c r="E97"/>
      <c r="F97"/>
      <c r="G97"/>
      <c r="H97" s="114">
        <f>F6</f>
        <v>0</v>
      </c>
      <c r="I97" s="114">
        <f>F7</f>
        <v>0</v>
      </c>
      <c r="J97" s="114">
        <f>F8</f>
        <v>0</v>
      </c>
      <c r="K97" s="114">
        <f>F9</f>
        <v>0</v>
      </c>
      <c r="L97"/>
      <c r="M97"/>
      <c r="N97"/>
      <c r="O97"/>
    </row>
    <row r="98" spans="1:15" x14ac:dyDescent="0.25">
      <c r="A98"/>
      <c r="B98"/>
      <c r="C98"/>
      <c r="D98" t="s">
        <v>105</v>
      </c>
      <c r="E98"/>
      <c r="F98"/>
      <c r="G98"/>
      <c r="H98" s="299" t="e">
        <f>+H96/H97</f>
        <v>#DIV/0!</v>
      </c>
      <c r="I98" s="299" t="e">
        <f>+I96/I97</f>
        <v>#DIV/0!</v>
      </c>
      <c r="J98" s="299" t="e">
        <f>+J96/J97</f>
        <v>#DIV/0!</v>
      </c>
      <c r="K98" s="299" t="e">
        <f>+K96/K97</f>
        <v>#DIV/0!</v>
      </c>
      <c r="L98"/>
      <c r="M98"/>
      <c r="N98"/>
      <c r="O98"/>
    </row>
    <row r="99" spans="1:15" x14ac:dyDescent="0.25">
      <c r="F99" s="143"/>
      <c r="H99" s="197"/>
      <c r="I99" s="197"/>
      <c r="J99" s="197"/>
      <c r="K99" s="197"/>
    </row>
  </sheetData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7"/>
  <sheetViews>
    <sheetView topLeftCell="A277" zoomScale="70" zoomScaleNormal="70" workbookViewId="0">
      <pane xSplit="1" topLeftCell="B1" activePane="topRight" state="frozen"/>
      <selection activeCell="O12" sqref="O12"/>
      <selection pane="topRight" activeCell="O12" sqref="O12"/>
    </sheetView>
  </sheetViews>
  <sheetFormatPr defaultRowHeight="13.2" x14ac:dyDescent="0.25"/>
  <cols>
    <col min="1" max="1" width="39.44140625" bestFit="1" customWidth="1"/>
    <col min="2" max="2" width="14" style="2" customWidth="1"/>
    <col min="3" max="3" width="16.88671875" style="2" bestFit="1" customWidth="1"/>
    <col min="4" max="4" width="14.44140625" style="29" bestFit="1" customWidth="1"/>
    <col min="5" max="5" width="12.6640625" style="2" customWidth="1"/>
    <col min="6" max="6" width="12.6640625" style="29" customWidth="1"/>
    <col min="7" max="7" width="12.6640625" style="2" customWidth="1"/>
    <col min="8" max="8" width="12.6640625" style="29" customWidth="1"/>
    <col min="9" max="9" width="12.6640625" style="2" customWidth="1"/>
    <col min="10" max="10" width="12.6640625" style="29" customWidth="1"/>
    <col min="11" max="11" width="16.6640625" style="29" customWidth="1"/>
    <col min="12" max="12" width="18.6640625" style="40" bestFit="1" customWidth="1"/>
  </cols>
  <sheetData>
    <row r="1" spans="1:12" x14ac:dyDescent="0.25">
      <c r="A1" s="113"/>
      <c r="B1" s="114"/>
      <c r="C1" s="114"/>
      <c r="D1" s="26" t="s">
        <v>6</v>
      </c>
      <c r="E1" s="21" t="s">
        <v>7</v>
      </c>
      <c r="F1" s="26" t="s">
        <v>8</v>
      </c>
      <c r="G1" s="21" t="s">
        <v>9</v>
      </c>
      <c r="H1" s="26" t="s">
        <v>10</v>
      </c>
      <c r="I1" s="21" t="s">
        <v>11</v>
      </c>
      <c r="J1" s="26" t="s">
        <v>12</v>
      </c>
      <c r="K1" s="26" t="s">
        <v>13</v>
      </c>
      <c r="L1" s="52"/>
    </row>
    <row r="2" spans="1:12" s="24" customFormat="1" x14ac:dyDescent="0.25">
      <c r="A2" s="22">
        <v>2007</v>
      </c>
      <c r="B2" s="23"/>
      <c r="C2" s="23"/>
      <c r="D2" s="27"/>
      <c r="E2" s="25"/>
      <c r="F2" s="27"/>
      <c r="G2" s="25"/>
      <c r="H2" s="27"/>
      <c r="I2" s="25"/>
      <c r="J2" s="27"/>
      <c r="K2" s="27"/>
      <c r="L2" s="53"/>
    </row>
    <row r="3" spans="1:12" s="20" customFormat="1" x14ac:dyDescent="0.25">
      <c r="B3" s="21" t="s">
        <v>14</v>
      </c>
      <c r="C3" s="21"/>
      <c r="D3" s="28" t="s">
        <v>6</v>
      </c>
      <c r="E3" s="21" t="s">
        <v>7</v>
      </c>
      <c r="F3" s="28" t="s">
        <v>8</v>
      </c>
      <c r="G3" s="21" t="s">
        <v>9</v>
      </c>
      <c r="H3" s="28" t="s">
        <v>10</v>
      </c>
      <c r="I3" s="21" t="s">
        <v>11</v>
      </c>
      <c r="J3" s="28" t="s">
        <v>12</v>
      </c>
      <c r="K3" s="28" t="s">
        <v>13</v>
      </c>
      <c r="L3" s="54"/>
    </row>
    <row r="4" spans="1:12" x14ac:dyDescent="0.25">
      <c r="A4" s="1" t="s">
        <v>0</v>
      </c>
      <c r="B4" s="114">
        <f>SUM(D4:K4)</f>
        <v>781003124.23000002</v>
      </c>
      <c r="C4" s="114"/>
      <c r="D4" s="29">
        <f t="shared" ref="D4:K4" si="0">SUM(D5:D7)</f>
        <v>298928581.38</v>
      </c>
      <c r="E4" s="114">
        <f t="shared" si="0"/>
        <v>93355885.810000002</v>
      </c>
      <c r="F4" s="29">
        <f t="shared" si="0"/>
        <v>149890114</v>
      </c>
      <c r="G4" s="114">
        <f t="shared" si="0"/>
        <v>170847661.13999999</v>
      </c>
      <c r="H4" s="29">
        <f t="shared" si="0"/>
        <v>13458681.459999999</v>
      </c>
      <c r="I4" s="114">
        <f t="shared" si="0"/>
        <v>34958125.299999997</v>
      </c>
      <c r="J4" s="29">
        <f t="shared" si="0"/>
        <v>5849656.1400000006</v>
      </c>
      <c r="K4" s="29">
        <f t="shared" si="0"/>
        <v>13714419</v>
      </c>
    </row>
    <row r="5" spans="1:12" x14ac:dyDescent="0.25">
      <c r="A5" s="113" t="s">
        <v>1</v>
      </c>
      <c r="B5" s="114">
        <f>SUM(D5:K5)</f>
        <v>420858055.87</v>
      </c>
      <c r="C5" s="114"/>
      <c r="D5" s="29">
        <v>161737328.63999999</v>
      </c>
      <c r="E5" s="114">
        <f>89700513-39140611</f>
        <v>50559902</v>
      </c>
      <c r="F5" s="29">
        <v>76409434</v>
      </c>
      <c r="G5" s="114">
        <v>94312976.040000007</v>
      </c>
      <c r="H5" s="34">
        <v>7617570.5199999996</v>
      </c>
      <c r="I5" s="114">
        <v>19928418.420000002</v>
      </c>
      <c r="J5" s="31">
        <v>3330198.25</v>
      </c>
      <c r="K5" s="29">
        <v>6962228</v>
      </c>
    </row>
    <row r="6" spans="1:12" x14ac:dyDescent="0.25">
      <c r="A6" s="113" t="s">
        <v>2</v>
      </c>
      <c r="B6" s="114">
        <f>SUM(D6:K6)</f>
        <v>164929070.81999999</v>
      </c>
      <c r="C6" s="114"/>
      <c r="D6" s="29">
        <v>62859254.960000001</v>
      </c>
      <c r="E6" s="114">
        <f>16661453.15+83003.66</f>
        <v>16744456.810000001</v>
      </c>
      <c r="F6" s="29">
        <v>33517136</v>
      </c>
      <c r="G6" s="114">
        <v>37874108.93</v>
      </c>
      <c r="H6" s="34">
        <v>2644740.9300000002</v>
      </c>
      <c r="I6" s="114">
        <v>6752686.8799999999</v>
      </c>
      <c r="J6" s="29">
        <v>1064841.31</v>
      </c>
      <c r="K6" s="29">
        <v>3471845</v>
      </c>
    </row>
    <row r="7" spans="1:12" x14ac:dyDescent="0.25">
      <c r="A7" s="113" t="s">
        <v>15</v>
      </c>
      <c r="B7" s="114">
        <f>SUM(D7:K7)</f>
        <v>195215997.53999999</v>
      </c>
      <c r="C7" s="114"/>
      <c r="D7" s="29">
        <v>74331997.780000001</v>
      </c>
      <c r="E7" s="114">
        <v>26051527</v>
      </c>
      <c r="F7" s="29">
        <v>39963544</v>
      </c>
      <c r="G7" s="114">
        <v>38660576.170000002</v>
      </c>
      <c r="H7" s="34">
        <v>3196370.01</v>
      </c>
      <c r="I7" s="114">
        <v>8277020</v>
      </c>
      <c r="J7" s="29">
        <v>1454616.58</v>
      </c>
      <c r="K7" s="29">
        <v>3280346</v>
      </c>
    </row>
    <row r="9" spans="1:12" x14ac:dyDescent="0.25">
      <c r="A9" s="1" t="s">
        <v>3</v>
      </c>
      <c r="B9" s="114">
        <f t="shared" ref="B9:B14" si="1">SUM(D9:K9)</f>
        <v>41217787.649999999</v>
      </c>
      <c r="C9" s="114"/>
      <c r="D9" s="29">
        <f>SUM(D10:D14)</f>
        <v>17084596.949999999</v>
      </c>
      <c r="E9" s="114">
        <f>4358415+E19</f>
        <v>4750999</v>
      </c>
      <c r="F9" s="29">
        <v>5719373.8399999999</v>
      </c>
      <c r="G9" s="5">
        <v>9624955</v>
      </c>
      <c r="H9" s="34">
        <v>884541.06</v>
      </c>
      <c r="I9" s="114">
        <v>2036348</v>
      </c>
      <c r="J9" s="29">
        <v>425127</v>
      </c>
      <c r="K9" s="34">
        <v>691846.8</v>
      </c>
    </row>
    <row r="10" spans="1:12" x14ac:dyDescent="0.25">
      <c r="A10" s="10" t="s">
        <v>4</v>
      </c>
      <c r="B10" s="114">
        <f t="shared" si="1"/>
        <v>21174666.550000001</v>
      </c>
      <c r="C10" s="114"/>
      <c r="D10" s="30">
        <v>7569763.8899999997</v>
      </c>
      <c r="E10" s="11">
        <v>2944499</v>
      </c>
      <c r="F10" s="30">
        <v>5493705</v>
      </c>
      <c r="G10" s="11">
        <v>3811421.42</v>
      </c>
      <c r="H10" s="30">
        <v>684441.24</v>
      </c>
      <c r="I10" s="11">
        <v>0</v>
      </c>
      <c r="J10" s="30">
        <v>333251</v>
      </c>
      <c r="K10" s="46">
        <v>337585</v>
      </c>
      <c r="L10" s="49"/>
    </row>
    <row r="11" spans="1:12" x14ac:dyDescent="0.25">
      <c r="A11" s="10" t="s">
        <v>16</v>
      </c>
      <c r="B11" s="114">
        <f t="shared" si="1"/>
        <v>16164581.176766504</v>
      </c>
      <c r="C11" s="114"/>
      <c r="D11" s="30">
        <v>7017039.5700000003</v>
      </c>
      <c r="E11" s="11">
        <v>25402.761200000001</v>
      </c>
      <c r="F11" s="30">
        <v>1904757.91</v>
      </c>
      <c r="G11" s="11">
        <v>4349935.9200000009</v>
      </c>
      <c r="H11" s="30">
        <v>150229.84</v>
      </c>
      <c r="I11" s="11">
        <v>2432476.1755665024</v>
      </c>
      <c r="J11" s="30">
        <v>53133</v>
      </c>
      <c r="K11" s="46">
        <v>231606</v>
      </c>
      <c r="L11" s="49"/>
    </row>
    <row r="12" spans="1:12" x14ac:dyDescent="0.25">
      <c r="A12" s="10" t="s">
        <v>5</v>
      </c>
      <c r="B12" s="114">
        <f t="shared" si="1"/>
        <v>6648930.9899999993</v>
      </c>
      <c r="C12" s="114"/>
      <c r="D12" s="30">
        <v>2812456.08</v>
      </c>
      <c r="E12" s="11">
        <v>392584</v>
      </c>
      <c r="F12" s="30">
        <v>682203.02</v>
      </c>
      <c r="G12" s="11">
        <v>2608445.91</v>
      </c>
      <c r="H12" s="30">
        <v>42342.26</v>
      </c>
      <c r="I12" s="11">
        <v>37438.720000000001</v>
      </c>
      <c r="J12" s="30">
        <v>38743</v>
      </c>
      <c r="K12" s="46">
        <v>34718</v>
      </c>
      <c r="L12" s="49"/>
    </row>
    <row r="13" spans="1:12" x14ac:dyDescent="0.25">
      <c r="A13" s="10" t="s">
        <v>17</v>
      </c>
      <c r="B13" s="114">
        <f t="shared" si="1"/>
        <v>2431925.765399999</v>
      </c>
      <c r="C13" s="114"/>
      <c r="D13" s="30">
        <v>321293.71000000002</v>
      </c>
      <c r="E13" s="11">
        <v>1388513.3054</v>
      </c>
      <c r="F13" s="30">
        <v>-136262.02000000002</v>
      </c>
      <c r="G13" s="11">
        <v>703604.04999999888</v>
      </c>
      <c r="H13" s="30">
        <v>24177.78</v>
      </c>
      <c r="I13" s="11">
        <v>42661.14</v>
      </c>
      <c r="J13" s="30">
        <v>0</v>
      </c>
      <c r="K13" s="46">
        <v>87937.800000000047</v>
      </c>
      <c r="L13" s="49"/>
    </row>
    <row r="14" spans="1:12" x14ac:dyDescent="0.25">
      <c r="A14" s="10" t="s">
        <v>18</v>
      </c>
      <c r="B14" s="114">
        <f t="shared" si="1"/>
        <v>-5202315.7855665023</v>
      </c>
      <c r="C14" s="114"/>
      <c r="D14" s="31">
        <v>-635956.30000000005</v>
      </c>
      <c r="E14" s="11">
        <v>0</v>
      </c>
      <c r="F14" s="30">
        <v>-2225030</v>
      </c>
      <c r="G14" s="11">
        <v>-1848452.2999999998</v>
      </c>
      <c r="H14" s="30">
        <v>-16649.150000000001</v>
      </c>
      <c r="I14" s="11">
        <v>-476228.03556650237</v>
      </c>
      <c r="J14" s="30">
        <v>0</v>
      </c>
      <c r="K14" s="46">
        <v>0</v>
      </c>
      <c r="L14" s="49"/>
    </row>
    <row r="16" spans="1:12" s="4" customFormat="1" x14ac:dyDescent="0.25">
      <c r="A16" s="3" t="s">
        <v>19</v>
      </c>
      <c r="B16" s="115">
        <f>B9/B4</f>
        <v>5.2775445284725449E-2</v>
      </c>
      <c r="C16" s="115"/>
      <c r="D16" s="32">
        <f t="shared" ref="D16:I16" si="2">D9/D4</f>
        <v>5.7152771645752894E-2</v>
      </c>
      <c r="E16" s="115">
        <f t="shared" si="2"/>
        <v>5.0891263671037731E-2</v>
      </c>
      <c r="F16" s="32">
        <f t="shared" si="2"/>
        <v>3.8157111815926702E-2</v>
      </c>
      <c r="G16" s="115">
        <f t="shared" si="2"/>
        <v>5.6336475054890534E-2</v>
      </c>
      <c r="H16" s="32">
        <f t="shared" si="2"/>
        <v>6.5722713077719291E-2</v>
      </c>
      <c r="I16" s="115">
        <f t="shared" si="2"/>
        <v>5.8251064166761832E-2</v>
      </c>
      <c r="J16" s="32">
        <v>5.5261731274945033E-2</v>
      </c>
      <c r="K16" s="32">
        <v>5.04E-2</v>
      </c>
      <c r="L16" s="32"/>
    </row>
    <row r="19" spans="1:12" x14ac:dyDescent="0.25">
      <c r="A19" s="1" t="s">
        <v>20</v>
      </c>
      <c r="B19" s="114">
        <f>SUM(D19:K19)</f>
        <v>6648930.9899999993</v>
      </c>
      <c r="C19" s="114"/>
      <c r="D19" s="29">
        <f>1974785.97+837670.11</f>
        <v>2812456.08</v>
      </c>
      <c r="E19" s="114">
        <f>208652+183932</f>
        <v>392584</v>
      </c>
      <c r="F19" s="29">
        <v>682203.02</v>
      </c>
      <c r="G19" s="114">
        <v>2608445.91</v>
      </c>
      <c r="H19" s="34">
        <v>42342.26</v>
      </c>
      <c r="I19" s="5">
        <v>37438.720000000001</v>
      </c>
      <c r="J19" s="29">
        <v>38743</v>
      </c>
      <c r="K19" s="29">
        <v>34718</v>
      </c>
    </row>
    <row r="21" spans="1:12" s="24" customFormat="1" x14ac:dyDescent="0.25">
      <c r="A21" s="22">
        <v>2008</v>
      </c>
      <c r="B21" s="23"/>
      <c r="C21" s="23" t="s">
        <v>21</v>
      </c>
      <c r="D21" s="33"/>
      <c r="E21" s="23"/>
      <c r="F21" s="33"/>
      <c r="G21" s="23"/>
      <c r="H21" s="33"/>
      <c r="I21" s="23"/>
      <c r="J21" s="33"/>
      <c r="K21" s="33"/>
      <c r="L21" s="53"/>
    </row>
    <row r="22" spans="1:12" s="20" customFormat="1" x14ac:dyDescent="0.25">
      <c r="B22" s="21" t="s">
        <v>14</v>
      </c>
      <c r="C22" s="21"/>
      <c r="D22" s="28" t="s">
        <v>6</v>
      </c>
      <c r="E22" s="21" t="s">
        <v>7</v>
      </c>
      <c r="F22" s="28" t="s">
        <v>8</v>
      </c>
      <c r="G22" s="21" t="s">
        <v>9</v>
      </c>
      <c r="H22" s="28" t="s">
        <v>10</v>
      </c>
      <c r="I22" s="21" t="s">
        <v>11</v>
      </c>
      <c r="J22" s="28" t="s">
        <v>12</v>
      </c>
      <c r="K22" s="28" t="s">
        <v>13</v>
      </c>
      <c r="L22" s="54"/>
    </row>
    <row r="23" spans="1:12" x14ac:dyDescent="0.25">
      <c r="A23" s="1" t="s">
        <v>0</v>
      </c>
      <c r="B23" s="114">
        <f>SUM(D23:K23)</f>
        <v>853596976.85000002</v>
      </c>
      <c r="C23" s="8">
        <f>(B23-B4)/B4</f>
        <v>9.2949503488313337E-2</v>
      </c>
      <c r="D23" s="29">
        <f t="shared" ref="D23:K23" si="3">SUM(D24:D26)</f>
        <v>344190434.50999999</v>
      </c>
      <c r="E23" s="114">
        <f t="shared" si="3"/>
        <v>97844756.849999994</v>
      </c>
      <c r="F23" s="29">
        <f t="shared" si="3"/>
        <v>158462758</v>
      </c>
      <c r="G23" s="114">
        <f t="shared" si="3"/>
        <v>180276654.72</v>
      </c>
      <c r="H23" s="29">
        <f t="shared" si="3"/>
        <v>14484872.969999999</v>
      </c>
      <c r="I23" s="114">
        <f t="shared" si="3"/>
        <v>36219335.899999999</v>
      </c>
      <c r="J23" s="29">
        <f t="shared" si="3"/>
        <v>6562383.9000000004</v>
      </c>
      <c r="K23" s="29">
        <f t="shared" si="3"/>
        <v>15555780</v>
      </c>
    </row>
    <row r="24" spans="1:12" x14ac:dyDescent="0.25">
      <c r="A24" s="113" t="s">
        <v>1</v>
      </c>
      <c r="B24" s="114">
        <f>SUM(D24:K24)</f>
        <v>428580771.63</v>
      </c>
      <c r="C24" s="8">
        <f>(B24-B5)/B5</f>
        <v>1.8349929750151869E-2</v>
      </c>
      <c r="D24" s="29">
        <v>169005497.36999997</v>
      </c>
      <c r="E24" s="114">
        <f>89351013-39220165</f>
        <v>50130848</v>
      </c>
      <c r="F24" s="29">
        <v>74725400</v>
      </c>
      <c r="G24" s="5">
        <v>96104372.320000008</v>
      </c>
      <c r="H24" s="29">
        <v>7567660.0199999996</v>
      </c>
      <c r="I24" s="5">
        <v>20199603.859999999</v>
      </c>
      <c r="J24" s="31">
        <v>3645595.06</v>
      </c>
      <c r="K24" s="29">
        <v>7201795</v>
      </c>
    </row>
    <row r="25" spans="1:12" x14ac:dyDescent="0.25">
      <c r="A25" s="113" t="s">
        <v>2</v>
      </c>
      <c r="B25" s="114">
        <f>SUM(D25:K25)</f>
        <v>213216923.17999998</v>
      </c>
      <c r="C25" s="8">
        <f>(B25-B6)/B6</f>
        <v>0.29277950891204801</v>
      </c>
      <c r="D25" s="29">
        <v>93621024.709999993</v>
      </c>
      <c r="E25" s="114">
        <f>18565599.74+72699.11</f>
        <v>18638298.849999998</v>
      </c>
      <c r="F25" s="29">
        <v>40100644</v>
      </c>
      <c r="G25" s="5">
        <v>43556636.399999999</v>
      </c>
      <c r="H25" s="29">
        <v>3634604.92</v>
      </c>
      <c r="I25" s="5">
        <v>7827916.04</v>
      </c>
      <c r="J25" s="45">
        <v>1221467.26</v>
      </c>
      <c r="K25" s="29">
        <v>4616331</v>
      </c>
    </row>
    <row r="26" spans="1:12" x14ac:dyDescent="0.25">
      <c r="A26" s="113" t="s">
        <v>15</v>
      </c>
      <c r="B26" s="114">
        <f>SUM(D26:K26)</f>
        <v>211799282.04000002</v>
      </c>
      <c r="C26" s="8">
        <f>(B26-B7)/B7</f>
        <v>8.4948389009984152E-2</v>
      </c>
      <c r="D26" s="29">
        <v>81563912.430000007</v>
      </c>
      <c r="E26" s="114">
        <v>29075610</v>
      </c>
      <c r="F26" s="29">
        <v>43636714</v>
      </c>
      <c r="G26" s="5">
        <v>40615646</v>
      </c>
      <c r="H26" s="29">
        <v>3282608.03</v>
      </c>
      <c r="I26" s="5">
        <v>8191816</v>
      </c>
      <c r="J26" s="45">
        <v>1695321.58</v>
      </c>
      <c r="K26" s="29">
        <v>3737654</v>
      </c>
    </row>
    <row r="27" spans="1:12" x14ac:dyDescent="0.25">
      <c r="A27" s="113"/>
      <c r="B27" s="114"/>
      <c r="C27" s="114"/>
      <c r="E27" s="114"/>
      <c r="F27" s="40"/>
      <c r="G27" s="114"/>
      <c r="I27" s="114"/>
      <c r="J27" s="37"/>
    </row>
    <row r="28" spans="1:12" x14ac:dyDescent="0.25">
      <c r="A28" s="1" t="s">
        <v>3</v>
      </c>
      <c r="B28" s="114">
        <f t="shared" ref="B28:B33" si="4">SUM(D28:K28)</f>
        <v>45927317.659999996</v>
      </c>
      <c r="C28" s="8">
        <f>(B28-B9)/B9</f>
        <v>0.11425965046913424</v>
      </c>
      <c r="D28" s="29">
        <f>SUM(D29:D33)</f>
        <v>19117730.16</v>
      </c>
      <c r="E28" s="114">
        <f>5085373+E38</f>
        <v>6553299</v>
      </c>
      <c r="F28" s="29">
        <f>SUM(F29:F33)</f>
        <v>7547163.3800000008</v>
      </c>
      <c r="G28" s="5">
        <v>8365660</v>
      </c>
      <c r="H28" s="34">
        <v>986913.01</v>
      </c>
      <c r="I28" s="5">
        <v>2122415</v>
      </c>
      <c r="J28" s="45">
        <v>497672</v>
      </c>
      <c r="K28" s="34">
        <v>736465.11</v>
      </c>
    </row>
    <row r="29" spans="1:12" x14ac:dyDescent="0.25">
      <c r="A29" s="10" t="s">
        <v>4</v>
      </c>
      <c r="B29" s="114">
        <f t="shared" si="4"/>
        <v>22912780.690000001</v>
      </c>
      <c r="C29" s="114"/>
      <c r="D29" s="30">
        <v>8403191.0299999993</v>
      </c>
      <c r="E29" s="11">
        <v>3181599</v>
      </c>
      <c r="F29" s="30">
        <v>5988815</v>
      </c>
      <c r="G29" s="11">
        <v>3807558.16</v>
      </c>
      <c r="H29" s="30">
        <v>766009.5</v>
      </c>
      <c r="I29" s="11">
        <v>0</v>
      </c>
      <c r="J29" s="30">
        <v>376124</v>
      </c>
      <c r="K29" s="46">
        <v>389484</v>
      </c>
      <c r="L29" s="37"/>
    </row>
    <row r="30" spans="1:12" x14ac:dyDescent="0.25">
      <c r="A30" s="10" t="s">
        <v>16</v>
      </c>
      <c r="B30" s="114">
        <f t="shared" si="4"/>
        <v>19275016.385918718</v>
      </c>
      <c r="C30" s="114"/>
      <c r="D30" s="30">
        <v>6626169.459999999</v>
      </c>
      <c r="E30" s="11">
        <v>871094.34050000005</v>
      </c>
      <c r="F30" s="30">
        <v>3615965.97</v>
      </c>
      <c r="G30" s="11">
        <v>5173515.3100000005</v>
      </c>
      <c r="H30" s="30">
        <v>187515.05</v>
      </c>
      <c r="I30" s="11">
        <v>2538299.2554187188</v>
      </c>
      <c r="J30" s="30">
        <v>38408</v>
      </c>
      <c r="K30" s="46">
        <v>224049</v>
      </c>
      <c r="L30" s="37"/>
    </row>
    <row r="31" spans="1:12" x14ac:dyDescent="0.25">
      <c r="A31" s="10" t="s">
        <v>5</v>
      </c>
      <c r="B31" s="114">
        <f t="shared" si="4"/>
        <v>6999607.3099999996</v>
      </c>
      <c r="C31" s="114"/>
      <c r="D31" s="30">
        <v>2520661.6799999997</v>
      </c>
      <c r="E31" s="11">
        <v>1467926</v>
      </c>
      <c r="F31" s="30">
        <v>1145838.45</v>
      </c>
      <c r="G31" s="11">
        <v>1648015.41</v>
      </c>
      <c r="H31" s="30">
        <v>49034.879999999997</v>
      </c>
      <c r="I31" s="11">
        <v>47377.89</v>
      </c>
      <c r="J31" s="30">
        <v>83140</v>
      </c>
      <c r="K31" s="46">
        <v>37613</v>
      </c>
      <c r="L31" s="37"/>
    </row>
    <row r="32" spans="1:12" x14ac:dyDescent="0.25">
      <c r="A32" s="10" t="s">
        <v>17</v>
      </c>
      <c r="B32" s="114">
        <f t="shared" si="4"/>
        <v>1892402.945499999</v>
      </c>
      <c r="C32" s="114"/>
      <c r="D32" s="30">
        <v>1785682.8699999999</v>
      </c>
      <c r="E32" s="11">
        <v>1032680.1455</v>
      </c>
      <c r="F32" s="30">
        <v>-1101594.1200000001</v>
      </c>
      <c r="G32" s="11">
        <v>18895.649999999441</v>
      </c>
      <c r="H32" s="30">
        <v>14270.04</v>
      </c>
      <c r="I32" s="11">
        <v>57149.249999999993</v>
      </c>
      <c r="J32" s="30">
        <v>0</v>
      </c>
      <c r="K32" s="46">
        <v>85319.109999999986</v>
      </c>
      <c r="L32" s="37"/>
    </row>
    <row r="33" spans="1:12" x14ac:dyDescent="0.25">
      <c r="A33" s="10" t="s">
        <v>18</v>
      </c>
      <c r="B33" s="114">
        <f t="shared" si="4"/>
        <v>-5152489.1854187185</v>
      </c>
      <c r="C33" s="114"/>
      <c r="D33" s="31">
        <v>-217974.87999999998</v>
      </c>
      <c r="E33" s="11">
        <v>0</v>
      </c>
      <c r="F33" s="30">
        <v>-2101861.92</v>
      </c>
      <c r="G33" s="11">
        <v>-2282324.5300000003</v>
      </c>
      <c r="H33" s="30">
        <v>-29916.46</v>
      </c>
      <c r="I33" s="11">
        <v>-520411.39541871881</v>
      </c>
      <c r="J33" s="30">
        <v>0</v>
      </c>
      <c r="K33" s="46">
        <v>0</v>
      </c>
      <c r="L33" s="37"/>
    </row>
    <row r="34" spans="1:12" x14ac:dyDescent="0.25">
      <c r="A34" s="113"/>
      <c r="B34" s="114"/>
      <c r="C34" s="114"/>
      <c r="E34" s="5"/>
      <c r="F34" s="37"/>
      <c r="G34" s="114"/>
      <c r="I34" s="114"/>
      <c r="J34" s="37"/>
    </row>
    <row r="35" spans="1:12" s="4" customFormat="1" x14ac:dyDescent="0.25">
      <c r="A35" s="3" t="s">
        <v>19</v>
      </c>
      <c r="B35" s="115">
        <f>B28/B23</f>
        <v>5.3804452107461792E-2</v>
      </c>
      <c r="C35" s="8">
        <f>(B35-B16)/B16</f>
        <v>1.9497833077197435E-2</v>
      </c>
      <c r="D35" s="32">
        <f t="shared" ref="D35:I35" si="5">D28/D23</f>
        <v>5.5544048419638926E-2</v>
      </c>
      <c r="E35" s="115">
        <f t="shared" si="5"/>
        <v>6.6976496349686623E-2</v>
      </c>
      <c r="F35" s="32">
        <f t="shared" si="5"/>
        <v>4.7627363522222681E-2</v>
      </c>
      <c r="G35" s="115">
        <f t="shared" si="5"/>
        <v>4.6404566431484315E-2</v>
      </c>
      <c r="H35" s="32">
        <f t="shared" si="5"/>
        <v>6.8134046604621357E-2</v>
      </c>
      <c r="I35" s="115">
        <f t="shared" si="5"/>
        <v>5.8598948524619415E-2</v>
      </c>
      <c r="J35" s="38">
        <v>5.7104178396467829E-2</v>
      </c>
      <c r="K35" s="32">
        <v>4.7300000000000002E-2</v>
      </c>
      <c r="L35" s="32"/>
    </row>
    <row r="38" spans="1:12" x14ac:dyDescent="0.25">
      <c r="A38" s="1" t="s">
        <v>20</v>
      </c>
      <c r="B38" s="114">
        <f>SUM(D38:K38)</f>
        <v>6999607.3099999996</v>
      </c>
      <c r="C38" s="8">
        <f>(B38-B19)/B19</f>
        <v>5.2741759619315938E-2</v>
      </c>
      <c r="D38" s="34">
        <f>846072.75+1674588.93</f>
        <v>2520661.6799999997</v>
      </c>
      <c r="E38" s="114">
        <f>364361+1103565</f>
        <v>1467926</v>
      </c>
      <c r="F38" s="29">
        <v>1145838.45</v>
      </c>
      <c r="G38" s="114">
        <v>1648015.41</v>
      </c>
      <c r="H38" s="34">
        <v>49034.879999999997</v>
      </c>
      <c r="I38" s="5">
        <v>47377.89</v>
      </c>
      <c r="J38" s="29">
        <v>83140</v>
      </c>
      <c r="K38" s="29">
        <v>37613</v>
      </c>
    </row>
    <row r="40" spans="1:12" s="24" customFormat="1" x14ac:dyDescent="0.25">
      <c r="A40" s="22">
        <v>2009</v>
      </c>
      <c r="B40" s="23"/>
      <c r="C40" s="23" t="s">
        <v>22</v>
      </c>
      <c r="D40" s="33"/>
      <c r="E40" s="23"/>
      <c r="F40" s="33"/>
      <c r="G40" s="23"/>
      <c r="H40" s="33"/>
      <c r="I40" s="23"/>
      <c r="J40" s="33"/>
      <c r="K40" s="33"/>
      <c r="L40" s="53"/>
    </row>
    <row r="41" spans="1:12" s="20" customFormat="1" x14ac:dyDescent="0.25">
      <c r="B41" s="21" t="s">
        <v>14</v>
      </c>
      <c r="C41" s="21"/>
      <c r="D41" s="28" t="s">
        <v>6</v>
      </c>
      <c r="E41" s="21" t="s">
        <v>7</v>
      </c>
      <c r="F41" s="28" t="s">
        <v>8</v>
      </c>
      <c r="G41" s="21" t="s">
        <v>9</v>
      </c>
      <c r="H41" s="28" t="s">
        <v>10</v>
      </c>
      <c r="I41" s="21" t="s">
        <v>11</v>
      </c>
      <c r="J41" s="28" t="s">
        <v>12</v>
      </c>
      <c r="K41" s="28" t="s">
        <v>13</v>
      </c>
      <c r="L41" s="54"/>
    </row>
    <row r="42" spans="1:12" x14ac:dyDescent="0.25">
      <c r="A42" s="1" t="s">
        <v>0</v>
      </c>
      <c r="B42" s="114">
        <f>SUM(D42:K42)</f>
        <v>913586965.90999997</v>
      </c>
      <c r="C42" s="8">
        <f>(B42-B23)/B23</f>
        <v>7.0279055206332805E-2</v>
      </c>
      <c r="D42" s="29">
        <f t="shared" ref="D42:K42" si="6">SUM(D43:D45)</f>
        <v>368609590.44999993</v>
      </c>
      <c r="E42" s="114">
        <f t="shared" si="6"/>
        <v>100931556.54000001</v>
      </c>
      <c r="F42" s="29">
        <f t="shared" si="6"/>
        <v>171374542</v>
      </c>
      <c r="G42" s="114">
        <f t="shared" si="6"/>
        <v>195603056</v>
      </c>
      <c r="H42" s="29">
        <f t="shared" si="6"/>
        <v>15381409.67</v>
      </c>
      <c r="I42" s="114">
        <f t="shared" si="6"/>
        <v>38472086</v>
      </c>
      <c r="J42" s="29">
        <f t="shared" si="6"/>
        <v>7212297.25</v>
      </c>
      <c r="K42" s="29">
        <f t="shared" si="6"/>
        <v>16002428</v>
      </c>
    </row>
    <row r="43" spans="1:12" x14ac:dyDescent="0.25">
      <c r="A43" s="113" t="s">
        <v>1</v>
      </c>
      <c r="B43" s="114">
        <f>SUM(D43:K43)</f>
        <v>453268367.62</v>
      </c>
      <c r="C43" s="8">
        <f>(B43-B24)/B24</f>
        <v>5.7603134867919764E-2</v>
      </c>
      <c r="D43" s="29">
        <v>180735554.73999998</v>
      </c>
      <c r="E43" s="114">
        <f>90309511-37764639</f>
        <v>52544872</v>
      </c>
      <c r="F43" s="29">
        <v>81294241</v>
      </c>
      <c r="G43" s="114">
        <v>98246413</v>
      </c>
      <c r="H43" s="34">
        <v>8407619.1300000008</v>
      </c>
      <c r="I43" s="114">
        <v>20592869</v>
      </c>
      <c r="J43" s="31">
        <v>3892009.75</v>
      </c>
      <c r="K43" s="29">
        <v>7554789</v>
      </c>
    </row>
    <row r="44" spans="1:12" x14ac:dyDescent="0.25">
      <c r="A44" s="113" t="s">
        <v>2</v>
      </c>
      <c r="B44" s="114">
        <f>SUM(D44:K44)</f>
        <v>247672230.27000001</v>
      </c>
      <c r="C44" s="8">
        <f>(B44-B25)/B25</f>
        <v>0.16159743127384171</v>
      </c>
      <c r="D44" s="29">
        <v>106051137.61</v>
      </c>
      <c r="E44" s="114">
        <f>18817017.18+118574.25</f>
        <v>18935591.43</v>
      </c>
      <c r="F44" s="29">
        <v>46486172</v>
      </c>
      <c r="G44" s="114">
        <v>56817033</v>
      </c>
      <c r="H44" s="34">
        <v>3711168.77</v>
      </c>
      <c r="I44" s="114">
        <v>9241629</v>
      </c>
      <c r="J44" s="29">
        <v>1532924.46</v>
      </c>
      <c r="K44" s="29">
        <v>4896574</v>
      </c>
    </row>
    <row r="45" spans="1:12" x14ac:dyDescent="0.25">
      <c r="A45" s="113" t="s">
        <v>15</v>
      </c>
      <c r="B45" s="114">
        <f>SUM(D45:K45)</f>
        <v>212646368.01999998</v>
      </c>
      <c r="C45" s="8">
        <f>(B45-B26)/B26</f>
        <v>3.9994752193729362E-3</v>
      </c>
      <c r="D45" s="29">
        <v>81822898.099999994</v>
      </c>
      <c r="E45" s="114">
        <v>29451093.109999999</v>
      </c>
      <c r="F45" s="29">
        <v>43594129</v>
      </c>
      <c r="G45" s="114">
        <v>40539610</v>
      </c>
      <c r="H45" s="34">
        <v>3262621.77</v>
      </c>
      <c r="I45" s="114">
        <v>8637588</v>
      </c>
      <c r="J45" s="29">
        <v>1787363.04</v>
      </c>
      <c r="K45" s="29">
        <v>3551065</v>
      </c>
    </row>
    <row r="47" spans="1:12" x14ac:dyDescent="0.25">
      <c r="A47" s="1" t="s">
        <v>3</v>
      </c>
      <c r="B47" s="114">
        <f t="shared" ref="B47:B52" si="7">SUM(D47:K47)</f>
        <v>47644144.549999997</v>
      </c>
      <c r="C47" s="8">
        <f>(B47-B28)/B28</f>
        <v>3.738138819056825E-2</v>
      </c>
      <c r="D47" s="29">
        <f>SUM(D48:D52)</f>
        <v>20555838.899999999</v>
      </c>
      <c r="E47" s="114">
        <f>5552757+E57</f>
        <v>6514819</v>
      </c>
      <c r="F47" s="29">
        <v>6658217</v>
      </c>
      <c r="G47" s="114">
        <v>9398626</v>
      </c>
      <c r="H47" s="29">
        <v>1001178.51</v>
      </c>
      <c r="I47" s="114">
        <v>2167896</v>
      </c>
      <c r="J47" s="29">
        <v>559024</v>
      </c>
      <c r="K47" s="34">
        <v>788545.14</v>
      </c>
    </row>
    <row r="48" spans="1:12" x14ac:dyDescent="0.25">
      <c r="A48" s="10" t="s">
        <v>4</v>
      </c>
      <c r="B48" s="114">
        <f t="shared" si="7"/>
        <v>24024727.93</v>
      </c>
      <c r="C48" s="114"/>
      <c r="D48" s="30">
        <v>8839832.0299999993</v>
      </c>
      <c r="E48" s="11">
        <v>3398625</v>
      </c>
      <c r="F48" s="30">
        <v>6149698.96</v>
      </c>
      <c r="G48" s="11">
        <v>3971533.41</v>
      </c>
      <c r="H48" s="30">
        <v>796321.53</v>
      </c>
      <c r="I48" s="11">
        <v>0</v>
      </c>
      <c r="J48" s="30">
        <v>437383</v>
      </c>
      <c r="K48" s="46">
        <v>431334</v>
      </c>
      <c r="L48" s="37"/>
    </row>
    <row r="49" spans="1:12" x14ac:dyDescent="0.25">
      <c r="A49" s="10" t="s">
        <v>16</v>
      </c>
      <c r="B49" s="114">
        <f t="shared" si="7"/>
        <v>21453150.374650735</v>
      </c>
      <c r="C49" s="114"/>
      <c r="D49" s="30">
        <v>7298243.8099999996</v>
      </c>
      <c r="E49" s="11">
        <v>1124081.6147</v>
      </c>
      <c r="F49" s="30">
        <v>4011738.38</v>
      </c>
      <c r="G49" s="11">
        <v>5878692.3900000006</v>
      </c>
      <c r="H49" s="30">
        <v>152789.97</v>
      </c>
      <c r="I49" s="11">
        <v>2696871.2099507391</v>
      </c>
      <c r="J49" s="30">
        <v>29585</v>
      </c>
      <c r="K49" s="46">
        <v>261148</v>
      </c>
      <c r="L49" s="37"/>
    </row>
    <row r="50" spans="1:12" x14ac:dyDescent="0.25">
      <c r="A50" s="10" t="s">
        <v>5</v>
      </c>
      <c r="B50" s="114">
        <f t="shared" si="7"/>
        <v>9958698.4400000013</v>
      </c>
      <c r="C50" s="114"/>
      <c r="D50" s="30">
        <v>5585183.9900000002</v>
      </c>
      <c r="E50" s="11">
        <v>962062</v>
      </c>
      <c r="F50" s="30">
        <v>798697</v>
      </c>
      <c r="G50" s="11">
        <v>2318549.19</v>
      </c>
      <c r="H50" s="30">
        <v>67727.210000000006</v>
      </c>
      <c r="I50" s="11">
        <v>76209.05</v>
      </c>
      <c r="J50" s="30">
        <v>92056</v>
      </c>
      <c r="K50" s="46">
        <v>58214</v>
      </c>
      <c r="L50" s="37"/>
    </row>
    <row r="51" spans="1:12" x14ac:dyDescent="0.25">
      <c r="A51" s="10" t="s">
        <v>17</v>
      </c>
      <c r="B51" s="114">
        <f t="shared" si="7"/>
        <v>1863787.2492999996</v>
      </c>
      <c r="C51" s="114"/>
      <c r="D51" s="30">
        <v>2156227.0700000003</v>
      </c>
      <c r="E51" s="11">
        <v>1030050.4093000001</v>
      </c>
      <c r="F51" s="30">
        <v>-1495279.7200000002</v>
      </c>
      <c r="G51" s="11">
        <v>92808.709999999497</v>
      </c>
      <c r="H51" s="30">
        <v>14834.8</v>
      </c>
      <c r="I51" s="11">
        <v>27296.840000000004</v>
      </c>
      <c r="J51" s="30">
        <v>0</v>
      </c>
      <c r="K51" s="46">
        <v>37849.14</v>
      </c>
      <c r="L51" s="37"/>
    </row>
    <row r="52" spans="1:12" x14ac:dyDescent="0.25">
      <c r="A52" s="10" t="s">
        <v>18</v>
      </c>
      <c r="B52" s="114">
        <f t="shared" si="7"/>
        <v>-9656220.0699507389</v>
      </c>
      <c r="C52" s="114"/>
      <c r="D52" s="31">
        <v>-3323648</v>
      </c>
      <c r="E52" s="11">
        <v>0</v>
      </c>
      <c r="F52" s="30">
        <v>-2806637.92</v>
      </c>
      <c r="G52" s="11">
        <v>-2862957.7</v>
      </c>
      <c r="H52" s="30">
        <v>-30495.35</v>
      </c>
      <c r="I52" s="11">
        <v>-632481.09995073907</v>
      </c>
      <c r="J52" s="30">
        <v>0</v>
      </c>
      <c r="K52" s="46">
        <v>0</v>
      </c>
      <c r="L52" s="37"/>
    </row>
    <row r="53" spans="1:12" x14ac:dyDescent="0.25">
      <c r="A53" s="113"/>
      <c r="B53" s="114"/>
      <c r="C53" s="114"/>
      <c r="E53" s="5"/>
      <c r="F53" s="37"/>
      <c r="G53" s="114"/>
      <c r="I53" s="114"/>
    </row>
    <row r="54" spans="1:12" s="4" customFormat="1" x14ac:dyDescent="0.25">
      <c r="A54" s="3" t="s">
        <v>19</v>
      </c>
      <c r="B54" s="115">
        <f>B47/B42</f>
        <v>5.2150639542610941E-2</v>
      </c>
      <c r="C54" s="8">
        <f>(B54-B35)/B35</f>
        <v>-3.0737466883739434E-2</v>
      </c>
      <c r="D54" s="32">
        <f t="shared" ref="D54:K54" si="8">D47/D42</f>
        <v>5.5765881931898069E-2</v>
      </c>
      <c r="E54" s="115">
        <f t="shared" si="8"/>
        <v>6.4546899139696939E-2</v>
      </c>
      <c r="F54" s="32">
        <f t="shared" si="8"/>
        <v>3.8851844167145898E-2</v>
      </c>
      <c r="G54" s="115">
        <f t="shared" si="8"/>
        <v>4.8049484462042352E-2</v>
      </c>
      <c r="H54" s="32">
        <f t="shared" si="8"/>
        <v>6.5090166082287307E-2</v>
      </c>
      <c r="I54" s="115">
        <f t="shared" si="8"/>
        <v>5.6349842844497698E-2</v>
      </c>
      <c r="J54" s="32">
        <f t="shared" si="8"/>
        <v>7.75098391847341E-2</v>
      </c>
      <c r="K54" s="32">
        <f t="shared" si="8"/>
        <v>4.927659352693229E-2</v>
      </c>
      <c r="L54" s="32"/>
    </row>
    <row r="57" spans="1:12" x14ac:dyDescent="0.25">
      <c r="A57" s="1" t="s">
        <v>20</v>
      </c>
      <c r="B57" s="114">
        <f>SUM(D57:K57)</f>
        <v>9958698.4400000013</v>
      </c>
      <c r="C57" s="8">
        <f>(B57-B38)/B38</f>
        <v>0.42275102001400733</v>
      </c>
      <c r="D57" s="34">
        <f>1614844.27+3970339.72</f>
        <v>5585183.9900000002</v>
      </c>
      <c r="E57" s="114">
        <f>863580+98482</f>
        <v>962062</v>
      </c>
      <c r="F57" s="29">
        <v>798697</v>
      </c>
      <c r="G57" s="114">
        <v>2318549.19</v>
      </c>
      <c r="H57" s="34">
        <v>67727.210000000006</v>
      </c>
      <c r="I57" s="5">
        <v>76209.05</v>
      </c>
      <c r="J57" s="29">
        <v>92056</v>
      </c>
      <c r="K57" s="29">
        <v>58214</v>
      </c>
    </row>
    <row r="59" spans="1:12" s="24" customFormat="1" x14ac:dyDescent="0.25">
      <c r="A59" s="22">
        <v>2010</v>
      </c>
      <c r="B59" s="23"/>
      <c r="C59" s="23" t="s">
        <v>23</v>
      </c>
      <c r="D59" s="33"/>
      <c r="E59" s="23"/>
      <c r="F59" s="33"/>
      <c r="G59" s="23"/>
      <c r="H59" s="33"/>
      <c r="I59" s="23"/>
      <c r="J59" s="33"/>
      <c r="K59" s="33"/>
      <c r="L59" s="53"/>
    </row>
    <row r="60" spans="1:12" s="20" customFormat="1" x14ac:dyDescent="0.25">
      <c r="B60" s="21" t="s">
        <v>14</v>
      </c>
      <c r="C60" s="21"/>
      <c r="D60" s="28" t="s">
        <v>6</v>
      </c>
      <c r="E60" s="21" t="s">
        <v>7</v>
      </c>
      <c r="F60" s="28" t="s">
        <v>8</v>
      </c>
      <c r="G60" s="21" t="s">
        <v>9</v>
      </c>
      <c r="H60" s="28" t="s">
        <v>10</v>
      </c>
      <c r="I60" s="21" t="s">
        <v>11</v>
      </c>
      <c r="J60" s="28" t="s">
        <v>12</v>
      </c>
      <c r="K60" s="28" t="s">
        <v>13</v>
      </c>
      <c r="L60" s="54"/>
    </row>
    <row r="61" spans="1:12" x14ac:dyDescent="0.25">
      <c r="A61" s="1" t="s">
        <v>0</v>
      </c>
      <c r="B61" s="114">
        <f>SUM(D61:K61)</f>
        <v>960678331.69000006</v>
      </c>
      <c r="C61" s="8">
        <f>(B61-B42)/B42</f>
        <v>5.1545575338953764E-2</v>
      </c>
      <c r="D61" s="29">
        <f t="shared" ref="D61:K61" si="9">SUM(D62:D64)</f>
        <v>387033599.20000005</v>
      </c>
      <c r="E61" s="114">
        <f t="shared" si="9"/>
        <v>110098890</v>
      </c>
      <c r="F61" s="29">
        <f t="shared" si="9"/>
        <v>178423732</v>
      </c>
      <c r="G61" s="114">
        <f t="shared" si="9"/>
        <v>205156431.47</v>
      </c>
      <c r="H61" s="29">
        <f t="shared" si="9"/>
        <v>16372199.319999998</v>
      </c>
      <c r="I61" s="114">
        <f t="shared" si="9"/>
        <v>38042174.490000002</v>
      </c>
      <c r="J61" s="29">
        <f t="shared" si="9"/>
        <v>8766542.3099999987</v>
      </c>
      <c r="K61" s="29">
        <f t="shared" si="9"/>
        <v>16784762.899999999</v>
      </c>
    </row>
    <row r="62" spans="1:12" x14ac:dyDescent="0.25">
      <c r="A62" s="113" t="s">
        <v>1</v>
      </c>
      <c r="B62" s="114">
        <f>SUM(D62:K62)</f>
        <v>476010330.16999996</v>
      </c>
      <c r="C62" s="8">
        <f>(B62-B43)/B43</f>
        <v>5.0173284029089361E-2</v>
      </c>
      <c r="D62" s="35">
        <v>190453724.00999999</v>
      </c>
      <c r="E62" s="14">
        <v>56881254</v>
      </c>
      <c r="F62" s="41">
        <v>82692106</v>
      </c>
      <c r="G62" s="14">
        <v>103843003.81999999</v>
      </c>
      <c r="H62" s="36">
        <v>8699881.1199999992</v>
      </c>
      <c r="I62" s="14">
        <v>20365199.550000001</v>
      </c>
      <c r="J62" s="35">
        <v>5302675.7699999996</v>
      </c>
      <c r="K62" s="41">
        <v>7772485.9000000004</v>
      </c>
    </row>
    <row r="63" spans="1:12" x14ac:dyDescent="0.25">
      <c r="A63" s="113" t="s">
        <v>2</v>
      </c>
      <c r="B63" s="114">
        <f>SUM(D63:K63)</f>
        <v>268865501.83000004</v>
      </c>
      <c r="C63" s="8">
        <f>(B63-B44)/B44</f>
        <v>8.5569833714890756E-2</v>
      </c>
      <c r="D63" s="35">
        <v>112930216.29000001</v>
      </c>
      <c r="E63" s="14">
        <v>23604071</v>
      </c>
      <c r="F63" s="41">
        <v>52382382</v>
      </c>
      <c r="G63" s="14">
        <v>59077266.780000001</v>
      </c>
      <c r="H63" s="36">
        <v>4365106.26</v>
      </c>
      <c r="I63" s="14">
        <v>9615101.3299999982</v>
      </c>
      <c r="J63" s="35">
        <v>1603595.17</v>
      </c>
      <c r="K63" s="41">
        <v>5287763</v>
      </c>
    </row>
    <row r="64" spans="1:12" x14ac:dyDescent="0.25">
      <c r="A64" s="113" t="s">
        <v>15</v>
      </c>
      <c r="B64" s="114">
        <f>SUM(D64:K64)</f>
        <v>215802499.69000003</v>
      </c>
      <c r="C64" s="8">
        <f>(B64-B45)/B45</f>
        <v>1.4842161187080344E-2</v>
      </c>
      <c r="D64" s="35">
        <v>83649658.900000006</v>
      </c>
      <c r="E64" s="14">
        <v>29613565</v>
      </c>
      <c r="F64" s="41">
        <v>43349244</v>
      </c>
      <c r="G64" s="14">
        <v>42236160.869999997</v>
      </c>
      <c r="H64" s="36">
        <v>3307211.94</v>
      </c>
      <c r="I64" s="14">
        <v>8061873.6100000003</v>
      </c>
      <c r="J64" s="35">
        <v>1860271.37</v>
      </c>
      <c r="K64" s="41">
        <v>3724514</v>
      </c>
    </row>
    <row r="66" spans="1:12" x14ac:dyDescent="0.25">
      <c r="A66" s="1" t="s">
        <v>3</v>
      </c>
      <c r="B66" s="114">
        <f t="shared" ref="B66:B71" si="10">SUM(D66:K66)</f>
        <v>46731825.442404509</v>
      </c>
      <c r="C66" s="8">
        <f>(B66-B47)/B47</f>
        <v>-1.9148609261691287E-2</v>
      </c>
      <c r="D66" s="29">
        <f>SUM(D67:D71)</f>
        <v>21481689.107322402</v>
      </c>
      <c r="E66" s="114">
        <f t="shared" ref="E66:K66" si="11">SUM(E67:E71)</f>
        <v>6076283.2350000003</v>
      </c>
      <c r="F66" s="29">
        <f t="shared" si="11"/>
        <v>6489485.8500000015</v>
      </c>
      <c r="G66" s="114">
        <f t="shared" si="11"/>
        <v>7914789.1399999997</v>
      </c>
      <c r="H66" s="29">
        <f t="shared" si="11"/>
        <v>1051008.0999999999</v>
      </c>
      <c r="I66" s="114">
        <f t="shared" si="11"/>
        <v>2270368.2300821021</v>
      </c>
      <c r="J66" s="29">
        <f t="shared" si="11"/>
        <v>607549.78</v>
      </c>
      <c r="K66" s="29">
        <f t="shared" si="11"/>
        <v>840652</v>
      </c>
    </row>
    <row r="67" spans="1:12" x14ac:dyDescent="0.25">
      <c r="A67" s="9" t="s">
        <v>4</v>
      </c>
      <c r="B67" s="114">
        <f t="shared" si="10"/>
        <v>24568941.535000004</v>
      </c>
      <c r="C67" s="114"/>
      <c r="D67" s="31">
        <v>9130271.0700000003</v>
      </c>
      <c r="E67" s="13">
        <v>3571043.8650000002</v>
      </c>
      <c r="F67" s="41">
        <v>6226784</v>
      </c>
      <c r="G67" s="14">
        <v>3960887.84</v>
      </c>
      <c r="H67" s="31">
        <v>819900.76</v>
      </c>
      <c r="I67" s="14">
        <v>0</v>
      </c>
      <c r="J67" s="35">
        <v>499431</v>
      </c>
      <c r="K67" s="47">
        <v>360623</v>
      </c>
    </row>
    <row r="68" spans="1:12" x14ac:dyDescent="0.25">
      <c r="A68" s="9" t="s">
        <v>16</v>
      </c>
      <c r="B68" s="114">
        <f t="shared" si="10"/>
        <v>21471502.137896307</v>
      </c>
      <c r="C68" s="114"/>
      <c r="D68" s="31">
        <v>8010953.6178142074</v>
      </c>
      <c r="E68" s="13">
        <v>1179252.32</v>
      </c>
      <c r="F68" s="41">
        <v>3472731.99</v>
      </c>
      <c r="G68" s="14">
        <v>5551414.4399999995</v>
      </c>
      <c r="H68" s="31">
        <v>182096.22</v>
      </c>
      <c r="I68" s="14">
        <v>2778443.550082102</v>
      </c>
      <c r="J68" s="35">
        <v>23149</v>
      </c>
      <c r="K68" s="47">
        <v>273461</v>
      </c>
    </row>
    <row r="69" spans="1:12" x14ac:dyDescent="0.25">
      <c r="A69" s="9" t="s">
        <v>5</v>
      </c>
      <c r="B69" s="114">
        <f t="shared" si="10"/>
        <v>9805765.6599999983</v>
      </c>
      <c r="C69" s="114"/>
      <c r="D69" s="31">
        <v>5754525.6099999994</v>
      </c>
      <c r="E69" s="13">
        <v>627136</v>
      </c>
      <c r="F69" s="41">
        <v>1079513.8899999999</v>
      </c>
      <c r="G69" s="14">
        <v>2000451.76</v>
      </c>
      <c r="H69" s="31">
        <v>63380.68</v>
      </c>
      <c r="I69" s="14">
        <v>117566.94</v>
      </c>
      <c r="J69" s="35">
        <v>84969.78</v>
      </c>
      <c r="K69" s="41">
        <v>78221</v>
      </c>
    </row>
    <row r="70" spans="1:12" x14ac:dyDescent="0.25">
      <c r="A70" s="9" t="s">
        <v>17</v>
      </c>
      <c r="B70" s="114">
        <f t="shared" si="10"/>
        <v>1756981.9395081962</v>
      </c>
      <c r="C70" s="114"/>
      <c r="D70" s="31">
        <v>1946163.3695081966</v>
      </c>
      <c r="E70" s="13">
        <v>698851.05</v>
      </c>
      <c r="F70" s="41">
        <v>-1465715.03</v>
      </c>
      <c r="G70" s="14">
        <v>432920.92</v>
      </c>
      <c r="H70" s="31">
        <v>16414.63</v>
      </c>
      <c r="I70" s="14">
        <v>0</v>
      </c>
      <c r="J70" s="31">
        <v>0</v>
      </c>
      <c r="K70" s="47">
        <v>128347</v>
      </c>
    </row>
    <row r="71" spans="1:12" x14ac:dyDescent="0.25">
      <c r="A71" s="9" t="s">
        <v>18</v>
      </c>
      <c r="B71" s="114">
        <f t="shared" si="10"/>
        <v>-10871365.829999998</v>
      </c>
      <c r="C71" s="114"/>
      <c r="D71" s="31">
        <v>-3360224.5599999996</v>
      </c>
      <c r="E71" s="13">
        <v>0</v>
      </c>
      <c r="F71" s="41">
        <v>-2823829</v>
      </c>
      <c r="G71" s="14">
        <v>-4030885.8199999994</v>
      </c>
      <c r="H71" s="31">
        <v>-30784.19</v>
      </c>
      <c r="I71" s="14">
        <v>-625642.26</v>
      </c>
      <c r="J71" s="31">
        <v>0</v>
      </c>
      <c r="K71" s="47">
        <v>0</v>
      </c>
    </row>
    <row r="72" spans="1:12" x14ac:dyDescent="0.25">
      <c r="A72" s="113"/>
      <c r="B72" s="114"/>
      <c r="C72" s="114"/>
      <c r="E72" s="5"/>
      <c r="F72" s="37"/>
      <c r="G72" s="114"/>
      <c r="I72" s="114"/>
    </row>
    <row r="73" spans="1:12" s="4" customFormat="1" x14ac:dyDescent="0.25">
      <c r="A73" s="3" t="s">
        <v>19</v>
      </c>
      <c r="B73" s="115">
        <f>B66/B61</f>
        <v>4.8644612770848188E-2</v>
      </c>
      <c r="C73" s="8">
        <f>(B73-B54)/B54</f>
        <v>-6.7228835590751851E-2</v>
      </c>
      <c r="D73" s="32">
        <f t="shared" ref="D73:K73" si="12">D66/D61</f>
        <v>5.5503421800394429E-2</v>
      </c>
      <c r="E73" s="115">
        <f t="shared" si="12"/>
        <v>5.5189323298354784E-2</v>
      </c>
      <c r="F73" s="32">
        <f t="shared" si="12"/>
        <v>3.6371203411438568E-2</v>
      </c>
      <c r="G73" s="115">
        <f t="shared" si="12"/>
        <v>3.8579288415617516E-2</v>
      </c>
      <c r="H73" s="32">
        <f t="shared" si="12"/>
        <v>6.419468022943664E-2</v>
      </c>
      <c r="I73" s="115">
        <f t="shared" si="12"/>
        <v>5.9680295895780222E-2</v>
      </c>
      <c r="J73" s="32">
        <f t="shared" si="12"/>
        <v>6.9303239352072457E-2</v>
      </c>
      <c r="K73" s="32">
        <f t="shared" si="12"/>
        <v>5.0084234433838803E-2</v>
      </c>
      <c r="L73" s="32"/>
    </row>
    <row r="76" spans="1:12" x14ac:dyDescent="0.25">
      <c r="A76" s="1" t="s">
        <v>20</v>
      </c>
      <c r="B76" s="114">
        <f>SUM(D76:K76)</f>
        <v>9805765.6599999983</v>
      </c>
      <c r="C76" s="8">
        <f>(B76-B57)/B57</f>
        <v>-1.5356703581437399E-2</v>
      </c>
      <c r="D76" s="117">
        <v>5754525.6099999994</v>
      </c>
      <c r="E76" s="14">
        <v>627136</v>
      </c>
      <c r="F76" s="41">
        <v>1079513.8899999999</v>
      </c>
      <c r="G76" s="14">
        <v>2000451.76</v>
      </c>
      <c r="H76" s="42">
        <v>63380.68</v>
      </c>
      <c r="I76" s="14">
        <v>117566.94</v>
      </c>
      <c r="J76" s="35">
        <v>84969.78</v>
      </c>
      <c r="K76" s="48">
        <v>78221</v>
      </c>
    </row>
    <row r="78" spans="1:12" s="24" customFormat="1" x14ac:dyDescent="0.25">
      <c r="A78" s="22">
        <v>2011</v>
      </c>
      <c r="B78" s="23"/>
      <c r="C78" s="23" t="s">
        <v>24</v>
      </c>
      <c r="D78" s="33"/>
      <c r="E78" s="23"/>
      <c r="F78" s="33"/>
      <c r="G78" s="23"/>
      <c r="H78" s="33"/>
      <c r="I78" s="23"/>
      <c r="J78" s="33"/>
      <c r="K78" s="33"/>
      <c r="L78" s="53"/>
    </row>
    <row r="79" spans="1:12" s="20" customFormat="1" x14ac:dyDescent="0.25">
      <c r="B79" s="21" t="s">
        <v>14</v>
      </c>
      <c r="C79" s="21"/>
      <c r="D79" s="28" t="s">
        <v>6</v>
      </c>
      <c r="E79" s="21" t="s">
        <v>7</v>
      </c>
      <c r="F79" s="28" t="s">
        <v>8</v>
      </c>
      <c r="G79" s="21" t="s">
        <v>9</v>
      </c>
      <c r="H79" s="28" t="s">
        <v>10</v>
      </c>
      <c r="I79" s="21" t="s">
        <v>11</v>
      </c>
      <c r="J79" s="28" t="s">
        <v>12</v>
      </c>
      <c r="K79" s="28" t="s">
        <v>13</v>
      </c>
      <c r="L79" s="54"/>
    </row>
    <row r="80" spans="1:12" x14ac:dyDescent="0.25">
      <c r="A80" s="1" t="s">
        <v>0</v>
      </c>
      <c r="B80" s="114">
        <f>SUM(D80:K80)</f>
        <v>977800351.83000004</v>
      </c>
      <c r="C80" s="8">
        <f>(B80-B61)/B61</f>
        <v>1.7822844104206429E-2</v>
      </c>
      <c r="D80" s="29">
        <f t="shared" ref="D80:K80" si="13">SUM(D81:D83)</f>
        <v>391318105.59000003</v>
      </c>
      <c r="E80" s="114">
        <f t="shared" si="13"/>
        <v>114221802</v>
      </c>
      <c r="F80" s="29">
        <f t="shared" si="13"/>
        <v>178905153</v>
      </c>
      <c r="G80" s="114">
        <f t="shared" si="13"/>
        <v>211426096.34999999</v>
      </c>
      <c r="H80" s="29">
        <f t="shared" si="13"/>
        <v>15559482.720000001</v>
      </c>
      <c r="I80" s="114">
        <f t="shared" si="13"/>
        <v>41241282.25</v>
      </c>
      <c r="J80" s="29">
        <f t="shared" si="13"/>
        <v>7602373.8999999994</v>
      </c>
      <c r="K80" s="29">
        <f t="shared" si="13"/>
        <v>17526056.02</v>
      </c>
    </row>
    <row r="81" spans="1:12" x14ac:dyDescent="0.25">
      <c r="A81" s="113" t="s">
        <v>1</v>
      </c>
      <c r="B81" s="114">
        <f>SUM(D81:K81)</f>
        <v>481547097.06</v>
      </c>
      <c r="C81" s="8">
        <f>(B81-B62)/B62</f>
        <v>1.1631610784628712E-2</v>
      </c>
      <c r="D81" s="35">
        <v>194496748.81999999</v>
      </c>
      <c r="E81" s="14">
        <v>59290190</v>
      </c>
      <c r="F81" s="41">
        <v>81033613</v>
      </c>
      <c r="G81" s="14">
        <v>105190758.36</v>
      </c>
      <c r="H81" s="36">
        <v>8287999.8700000001</v>
      </c>
      <c r="I81" s="14">
        <v>20960285.940000001</v>
      </c>
      <c r="J81" s="35">
        <v>4341031.05</v>
      </c>
      <c r="K81" s="41">
        <v>7946470.0200000005</v>
      </c>
    </row>
    <row r="82" spans="1:12" x14ac:dyDescent="0.25">
      <c r="A82" s="113" t="s">
        <v>2</v>
      </c>
      <c r="B82" s="114">
        <f>SUM(D82:K82)</f>
        <v>274529281.67000002</v>
      </c>
      <c r="C82" s="8">
        <f>(B82-B63)/B63</f>
        <v>2.1065476237933655E-2</v>
      </c>
      <c r="D82" s="35">
        <v>110261182.03</v>
      </c>
      <c r="E82" s="14">
        <v>25581475</v>
      </c>
      <c r="F82" s="41">
        <v>52773544</v>
      </c>
      <c r="G82" s="14">
        <v>63197269.829999998</v>
      </c>
      <c r="H82" s="36">
        <v>4093832.2</v>
      </c>
      <c r="I82" s="14">
        <v>11282747.299999999</v>
      </c>
      <c r="J82" s="35">
        <v>1678403.31</v>
      </c>
      <c r="K82" s="41">
        <v>5660828</v>
      </c>
    </row>
    <row r="83" spans="1:12" x14ac:dyDescent="0.25">
      <c r="A83" s="113" t="s">
        <v>15</v>
      </c>
      <c r="B83" s="114">
        <f>SUM(D83:K83)</f>
        <v>221723973.09999999</v>
      </c>
      <c r="C83" s="8">
        <f>(B83-B64)/B64</f>
        <v>2.7439317980589448E-2</v>
      </c>
      <c r="D83" s="35">
        <v>86560174.739999995</v>
      </c>
      <c r="E83" s="14">
        <v>29350137</v>
      </c>
      <c r="F83" s="41">
        <v>45097996</v>
      </c>
      <c r="G83" s="14">
        <v>43038068.159999996</v>
      </c>
      <c r="H83" s="36">
        <v>3177650.65</v>
      </c>
      <c r="I83" s="14">
        <v>8998249.0099999998</v>
      </c>
      <c r="J83" s="35">
        <v>1582939.54</v>
      </c>
      <c r="K83" s="41">
        <v>3918758</v>
      </c>
    </row>
    <row r="85" spans="1:12" x14ac:dyDescent="0.25">
      <c r="A85" s="1" t="s">
        <v>3</v>
      </c>
      <c r="B85" s="114">
        <f t="shared" ref="B85:B90" si="14">SUM(D85:K85)</f>
        <v>46546126.074815951</v>
      </c>
      <c r="C85" s="8">
        <f>(B85-B66)/B66</f>
        <v>-3.9737238130666619E-3</v>
      </c>
      <c r="D85" s="29">
        <f t="shared" ref="D85:K85" si="15">SUM(D86:D90)</f>
        <v>21458346.637923505</v>
      </c>
      <c r="E85" s="114">
        <f t="shared" si="15"/>
        <v>6511583.6708333306</v>
      </c>
      <c r="F85" s="29">
        <f t="shared" si="15"/>
        <v>6398840.8199999994</v>
      </c>
      <c r="G85" s="114">
        <f t="shared" si="15"/>
        <v>7289864.2100000009</v>
      </c>
      <c r="H85" s="29">
        <f t="shared" si="15"/>
        <v>1106283.21</v>
      </c>
      <c r="I85" s="114">
        <f t="shared" si="15"/>
        <v>2250541.8260591137</v>
      </c>
      <c r="J85" s="29">
        <f t="shared" si="15"/>
        <v>537190.69999999995</v>
      </c>
      <c r="K85" s="29">
        <f t="shared" si="15"/>
        <v>993475</v>
      </c>
    </row>
    <row r="86" spans="1:12" x14ac:dyDescent="0.25">
      <c r="A86" s="9" t="s">
        <v>4</v>
      </c>
      <c r="B86" s="114">
        <f t="shared" si="14"/>
        <v>25053403.190833334</v>
      </c>
      <c r="C86" s="114"/>
      <c r="D86" s="35">
        <v>9485245.2400000058</v>
      </c>
      <c r="E86" s="14">
        <v>3596331.9408333302</v>
      </c>
      <c r="F86" s="35">
        <v>6246003</v>
      </c>
      <c r="G86" s="14">
        <v>4158379.22</v>
      </c>
      <c r="H86" s="35">
        <v>814430.79</v>
      </c>
      <c r="I86" s="14">
        <v>0</v>
      </c>
      <c r="J86" s="35">
        <v>415093</v>
      </c>
      <c r="K86" s="48">
        <v>337920</v>
      </c>
    </row>
    <row r="87" spans="1:12" x14ac:dyDescent="0.25">
      <c r="A87" s="9" t="s">
        <v>16</v>
      </c>
      <c r="B87" s="114">
        <f t="shared" si="14"/>
        <v>22498797.11534873</v>
      </c>
      <c r="C87" s="114"/>
      <c r="D87" s="35">
        <v>8557406.239289619</v>
      </c>
      <c r="E87" s="14">
        <v>1531705.78</v>
      </c>
      <c r="F87" s="35">
        <v>3622161.8000000003</v>
      </c>
      <c r="G87" s="14">
        <v>5345701.0399999991</v>
      </c>
      <c r="H87" s="35">
        <v>158162.85</v>
      </c>
      <c r="I87" s="14">
        <v>2898882.4060591133</v>
      </c>
      <c r="J87" s="35">
        <v>21479</v>
      </c>
      <c r="K87" s="48">
        <v>363298</v>
      </c>
    </row>
    <row r="88" spans="1:12" x14ac:dyDescent="0.25">
      <c r="A88" s="9" t="s">
        <v>5</v>
      </c>
      <c r="B88" s="114">
        <f t="shared" si="14"/>
        <v>9629457.0299999993</v>
      </c>
      <c r="C88" s="114"/>
      <c r="D88" s="35">
        <v>5548970.9000000004</v>
      </c>
      <c r="E88" s="14">
        <v>818744</v>
      </c>
      <c r="F88" s="35">
        <v>896212.54</v>
      </c>
      <c r="G88" s="14">
        <v>1895511.35</v>
      </c>
      <c r="H88" s="35">
        <v>93416.09</v>
      </c>
      <c r="I88" s="14">
        <v>83612.450000000012</v>
      </c>
      <c r="J88" s="35">
        <v>100618.7</v>
      </c>
      <c r="K88" s="41">
        <v>192371</v>
      </c>
    </row>
    <row r="89" spans="1:12" x14ac:dyDescent="0.25">
      <c r="A89" s="9" t="s">
        <v>17</v>
      </c>
      <c r="B89" s="114">
        <f t="shared" si="14"/>
        <v>658353.57863387989</v>
      </c>
      <c r="C89" s="114"/>
      <c r="D89" s="35">
        <v>1107953.1986338799</v>
      </c>
      <c r="E89" s="14">
        <v>564801.94999999995</v>
      </c>
      <c r="F89" s="35">
        <v>-1336167.8899999999</v>
      </c>
      <c r="G89" s="14">
        <v>169233.34</v>
      </c>
      <c r="H89" s="35">
        <v>52646.98</v>
      </c>
      <c r="I89" s="14">
        <v>0</v>
      </c>
      <c r="J89" s="35">
        <v>0</v>
      </c>
      <c r="K89" s="48">
        <v>99886</v>
      </c>
    </row>
    <row r="90" spans="1:12" x14ac:dyDescent="0.25">
      <c r="A90" s="9" t="s">
        <v>18</v>
      </c>
      <c r="B90" s="114">
        <f t="shared" si="14"/>
        <v>-11293884.839999998</v>
      </c>
      <c r="C90" s="114"/>
      <c r="D90" s="35">
        <v>-3241228.94</v>
      </c>
      <c r="E90" s="14">
        <v>0</v>
      </c>
      <c r="F90" s="35">
        <v>-3029368.63</v>
      </c>
      <c r="G90" s="14">
        <v>-4278960.7399999984</v>
      </c>
      <c r="H90" s="35">
        <v>-12373.5</v>
      </c>
      <c r="I90" s="14">
        <v>-731953.02999999968</v>
      </c>
      <c r="J90" s="35">
        <v>0</v>
      </c>
      <c r="K90" s="48">
        <v>0</v>
      </c>
    </row>
    <row r="91" spans="1:12" x14ac:dyDescent="0.25">
      <c r="A91" s="113"/>
      <c r="B91" s="114"/>
      <c r="C91" s="114"/>
      <c r="E91" s="5"/>
      <c r="F91" s="37"/>
      <c r="G91" s="114"/>
      <c r="I91" s="114"/>
    </row>
    <row r="92" spans="1:12" s="4" customFormat="1" x14ac:dyDescent="0.25">
      <c r="A92" s="3" t="s">
        <v>19</v>
      </c>
      <c r="B92" s="115">
        <f>B85/B80</f>
        <v>4.7602893563806412E-2</v>
      </c>
      <c r="C92" s="8">
        <f>(B92-B73)/B73</f>
        <v>-2.1414893607007168E-2</v>
      </c>
      <c r="D92" s="32">
        <f t="shared" ref="D92:K92" si="16">D85/D80</f>
        <v>5.4836068997038155E-2</v>
      </c>
      <c r="E92" s="115">
        <f t="shared" si="16"/>
        <v>5.7008237979237368E-2</v>
      </c>
      <c r="F92" s="32">
        <f t="shared" si="16"/>
        <v>3.5766665815377602E-2</v>
      </c>
      <c r="G92" s="115">
        <f t="shared" si="16"/>
        <v>3.4479491112261652E-2</v>
      </c>
      <c r="H92" s="32">
        <f t="shared" si="16"/>
        <v>7.1100256345797072E-2</v>
      </c>
      <c r="I92" s="115">
        <f t="shared" si="16"/>
        <v>5.4570122539269829E-2</v>
      </c>
      <c r="J92" s="32">
        <f t="shared" si="16"/>
        <v>7.0660915533238902E-2</v>
      </c>
      <c r="K92" s="32">
        <f t="shared" si="16"/>
        <v>5.6685599935677941E-2</v>
      </c>
      <c r="L92" s="32"/>
    </row>
    <row r="95" spans="1:12" x14ac:dyDescent="0.25">
      <c r="A95" s="1" t="s">
        <v>20</v>
      </c>
      <c r="B95" s="114">
        <f>SUM(D95:K95)</f>
        <v>9629457.0299999993</v>
      </c>
      <c r="C95" s="8">
        <f>(B95-B76)/B76</f>
        <v>-1.7980098251705413E-2</v>
      </c>
      <c r="D95" s="36">
        <v>5548970.9000000004</v>
      </c>
      <c r="E95" s="14">
        <v>818744</v>
      </c>
      <c r="F95" s="42">
        <v>896212.54</v>
      </c>
      <c r="G95" s="14">
        <v>1895511.35</v>
      </c>
      <c r="H95" s="42">
        <v>93416.09</v>
      </c>
      <c r="I95" s="14">
        <v>83612.45</v>
      </c>
      <c r="J95" s="35">
        <v>100618.7</v>
      </c>
      <c r="K95" s="48">
        <v>192371</v>
      </c>
    </row>
    <row r="97" spans="1:12" s="24" customFormat="1" x14ac:dyDescent="0.25">
      <c r="A97" s="22">
        <v>2012</v>
      </c>
      <c r="B97" s="23"/>
      <c r="C97" s="23" t="s">
        <v>25</v>
      </c>
      <c r="D97" s="33"/>
      <c r="E97" s="23"/>
      <c r="F97" s="33"/>
      <c r="G97" s="23"/>
      <c r="H97" s="33"/>
      <c r="I97" s="23"/>
      <c r="J97" s="33"/>
      <c r="K97" s="33"/>
      <c r="L97" s="53"/>
    </row>
    <row r="98" spans="1:12" s="20" customFormat="1" x14ac:dyDescent="0.25">
      <c r="B98" s="21" t="s">
        <v>14</v>
      </c>
      <c r="C98" s="21"/>
      <c r="D98" s="90" t="s">
        <v>6</v>
      </c>
      <c r="E98" s="51" t="s">
        <v>7</v>
      </c>
      <c r="F98" s="90" t="s">
        <v>8</v>
      </c>
      <c r="G98" s="51" t="s">
        <v>9</v>
      </c>
      <c r="H98" s="90" t="s">
        <v>10</v>
      </c>
      <c r="I98" s="51" t="s">
        <v>11</v>
      </c>
      <c r="J98" s="28" t="s">
        <v>12</v>
      </c>
      <c r="K98" s="28" t="s">
        <v>13</v>
      </c>
      <c r="L98" s="90" t="s">
        <v>26</v>
      </c>
    </row>
    <row r="99" spans="1:12" s="63" customFormat="1" x14ac:dyDescent="0.25">
      <c r="A99" s="65" t="s">
        <v>0</v>
      </c>
      <c r="B99" s="56">
        <f>SUM(D99:L99)</f>
        <v>1021147636.3299999</v>
      </c>
      <c r="C99" s="57">
        <f>(B99-B80)/B80</f>
        <v>4.4331426572790003E-2</v>
      </c>
      <c r="D99" s="66">
        <f>+D100+D101+D104</f>
        <v>413270998.85000002</v>
      </c>
      <c r="E99" s="66">
        <f t="shared" ref="E99:L99" si="17">+E100+E101+E104</f>
        <v>115067406.65000001</v>
      </c>
      <c r="F99" s="66">
        <f t="shared" si="17"/>
        <v>178800217</v>
      </c>
      <c r="G99" s="66">
        <f t="shared" si="17"/>
        <v>218061798</v>
      </c>
      <c r="H99" s="66">
        <f t="shared" si="17"/>
        <v>17145462.289999999</v>
      </c>
      <c r="I99" s="66">
        <f t="shared" si="17"/>
        <v>42681078</v>
      </c>
      <c r="J99" s="66">
        <f t="shared" si="17"/>
        <v>8009687.8599999994</v>
      </c>
      <c r="K99" s="66">
        <f t="shared" si="17"/>
        <v>17129256.939999998</v>
      </c>
      <c r="L99" s="66">
        <f t="shared" si="17"/>
        <v>10981730.74</v>
      </c>
    </row>
    <row r="100" spans="1:12" s="6" customFormat="1" x14ac:dyDescent="0.25">
      <c r="A100" s="6" t="s">
        <v>1</v>
      </c>
      <c r="B100" s="5">
        <f>SUM(D100:L100)</f>
        <v>503367497.68000001</v>
      </c>
      <c r="C100" s="18">
        <f>(B100-B81)/B81</f>
        <v>4.5313118391161679E-2</v>
      </c>
      <c r="D100" s="37">
        <v>205733389</v>
      </c>
      <c r="E100" s="17">
        <v>58756374</v>
      </c>
      <c r="F100" s="44">
        <f>81344590-179676</f>
        <v>81164914</v>
      </c>
      <c r="G100" s="12">
        <v>109354102</v>
      </c>
      <c r="H100" s="39">
        <v>9009375.9499999993</v>
      </c>
      <c r="I100" s="12">
        <v>21653688</v>
      </c>
      <c r="J100" s="37">
        <v>4517290.5199999996</v>
      </c>
      <c r="K100" s="49">
        <v>7803143.4699999997</v>
      </c>
      <c r="L100" s="37">
        <v>5375220.7400000002</v>
      </c>
    </row>
    <row r="101" spans="1:12" s="6" customFormat="1" x14ac:dyDescent="0.25">
      <c r="A101" s="6" t="s">
        <v>2</v>
      </c>
      <c r="B101" s="5">
        <f>SUM(D101:L101)</f>
        <v>288027831.36000001</v>
      </c>
      <c r="C101" s="18">
        <f>(B101-B82)/B82</f>
        <v>4.9169799330280657E-2</v>
      </c>
      <c r="D101" s="37">
        <f>+SUM(D102:D103)</f>
        <v>118425473.85000001</v>
      </c>
      <c r="E101" s="17">
        <v>26155377.870000001</v>
      </c>
      <c r="F101" s="44">
        <f>52822320-751604</f>
        <v>52070716</v>
      </c>
      <c r="G101" s="12">
        <v>64533276</v>
      </c>
      <c r="H101" s="39">
        <v>4607777.3099999996</v>
      </c>
      <c r="I101" s="12">
        <v>11721550</v>
      </c>
      <c r="J101" s="37">
        <f>+SUM(J102:J103)</f>
        <v>1851076.85</v>
      </c>
      <c r="K101" s="37">
        <f>+SUM(K102:K103)</f>
        <v>5412574.4799999995</v>
      </c>
      <c r="L101" s="37">
        <v>3250009</v>
      </c>
    </row>
    <row r="102" spans="1:12" s="6" customFormat="1" x14ac:dyDescent="0.25">
      <c r="A102" s="15" t="s">
        <v>27</v>
      </c>
      <c r="B102" s="5"/>
      <c r="C102" s="18"/>
      <c r="D102" s="37">
        <f>118379568.18-3920371.03</f>
        <v>114459197.15000001</v>
      </c>
      <c r="E102" s="17"/>
      <c r="F102" s="44">
        <f>F101-F103</f>
        <v>49882696.619999997</v>
      </c>
      <c r="G102" s="12"/>
      <c r="H102" s="39">
        <v>0</v>
      </c>
      <c r="I102" s="12"/>
      <c r="J102" s="37">
        <v>1840547.07</v>
      </c>
      <c r="K102" s="49">
        <v>5397800.5899999999</v>
      </c>
      <c r="L102" s="37">
        <v>3200563</v>
      </c>
    </row>
    <row r="103" spans="1:12" s="6" customFormat="1" x14ac:dyDescent="0.25">
      <c r="A103" s="15" t="s">
        <v>28</v>
      </c>
      <c r="B103" s="5"/>
      <c r="C103" s="18"/>
      <c r="D103" s="37">
        <f>4010715.39-44438.69</f>
        <v>3966276.7</v>
      </c>
      <c r="E103" s="17"/>
      <c r="F103" s="44">
        <v>2188019.38</v>
      </c>
      <c r="G103" s="12"/>
      <c r="H103" s="39">
        <v>0</v>
      </c>
      <c r="I103" s="12"/>
      <c r="J103" s="37">
        <v>10529.78</v>
      </c>
      <c r="K103" s="49">
        <f>15360.32-586.43</f>
        <v>14773.89</v>
      </c>
      <c r="L103" s="37">
        <v>49446</v>
      </c>
    </row>
    <row r="104" spans="1:12" s="6" customFormat="1" x14ac:dyDescent="0.25">
      <c r="A104" s="6" t="s">
        <v>15</v>
      </c>
      <c r="B104" s="5">
        <f>SUM(D104:L104)</f>
        <v>229752307.29000002</v>
      </c>
      <c r="C104" s="18">
        <f>(B104-B83)/B83</f>
        <v>3.620868811681973E-2</v>
      </c>
      <c r="D104" s="37">
        <v>89112136</v>
      </c>
      <c r="E104" s="17">
        <v>30155654.780000001</v>
      </c>
      <c r="F104" s="44">
        <f>46407612-843025</f>
        <v>45564587</v>
      </c>
      <c r="G104" s="12">
        <v>44174420</v>
      </c>
      <c r="H104" s="39">
        <v>3528309.03</v>
      </c>
      <c r="I104" s="12">
        <v>9305840</v>
      </c>
      <c r="J104" s="37">
        <v>1641320.49</v>
      </c>
      <c r="K104" s="49">
        <v>3913538.99</v>
      </c>
      <c r="L104" s="37">
        <v>2356501</v>
      </c>
    </row>
    <row r="105" spans="1:12" s="6" customFormat="1" x14ac:dyDescent="0.25">
      <c r="B105" s="5"/>
      <c r="C105" s="5"/>
      <c r="D105" s="37"/>
      <c r="E105" s="5"/>
      <c r="F105" s="37"/>
      <c r="G105" s="5"/>
      <c r="H105" s="37"/>
      <c r="I105" s="5"/>
      <c r="J105" s="37"/>
      <c r="K105" s="37"/>
      <c r="L105" s="45"/>
    </row>
    <row r="106" spans="1:12" s="63" customFormat="1" x14ac:dyDescent="0.25">
      <c r="A106" s="65" t="s">
        <v>3</v>
      </c>
      <c r="B106" s="56">
        <f t="shared" ref="B106:B111" si="18">SUM(D106:L106)</f>
        <v>45926482.968297042</v>
      </c>
      <c r="C106" s="57">
        <f>(B106-B85)/B85</f>
        <v>-1.331245280268707E-2</v>
      </c>
      <c r="D106" s="66">
        <f>SUM(D107:D111)</f>
        <v>16850013</v>
      </c>
      <c r="E106" s="56">
        <f t="shared" ref="E106:K106" si="19">SUM(E107:E111)</f>
        <v>5079601.3697146699</v>
      </c>
      <c r="F106" s="61">
        <f>SUM(F107:F111)</f>
        <v>8274749.4644444454</v>
      </c>
      <c r="G106" s="56">
        <f t="shared" si="19"/>
        <v>8621246.6099999994</v>
      </c>
      <c r="H106" s="61">
        <f t="shared" si="19"/>
        <v>1118686.6099999999</v>
      </c>
      <c r="I106" s="56">
        <f t="shared" si="19"/>
        <v>2852895.2041379311</v>
      </c>
      <c r="J106" s="61">
        <f t="shared" si="19"/>
        <v>486605.57</v>
      </c>
      <c r="K106" s="61">
        <f t="shared" si="19"/>
        <v>1052484</v>
      </c>
      <c r="L106" s="61">
        <f>SUM(L107:L111)</f>
        <v>1590201.1399999997</v>
      </c>
    </row>
    <row r="107" spans="1:12" s="6" customFormat="1" x14ac:dyDescent="0.25">
      <c r="A107" s="6" t="s">
        <v>4</v>
      </c>
      <c r="B107" s="5">
        <f t="shared" si="18"/>
        <v>26284931.719714671</v>
      </c>
      <c r="C107" s="5"/>
      <c r="D107" s="37">
        <v>10160439</v>
      </c>
      <c r="E107" s="17">
        <v>3688120.0897146701</v>
      </c>
      <c r="F107" s="44">
        <v>4968251.82</v>
      </c>
      <c r="G107" s="12">
        <v>4406025.78</v>
      </c>
      <c r="H107" s="37">
        <v>879796.94</v>
      </c>
      <c r="I107" s="12">
        <v>0</v>
      </c>
      <c r="J107" s="37">
        <v>437794.65</v>
      </c>
      <c r="K107" s="50">
        <v>378690</v>
      </c>
      <c r="L107" s="37">
        <v>1365813.44</v>
      </c>
    </row>
    <row r="108" spans="1:12" s="6" customFormat="1" x14ac:dyDescent="0.25">
      <c r="A108" s="6" t="s">
        <v>16</v>
      </c>
      <c r="B108" s="5">
        <f t="shared" si="18"/>
        <v>24076516.534137927</v>
      </c>
      <c r="C108" s="5"/>
      <c r="D108" s="37">
        <v>8187454</v>
      </c>
      <c r="E108" s="17">
        <v>1709791.09</v>
      </c>
      <c r="F108" s="44">
        <v>3402061.6800000006</v>
      </c>
      <c r="G108" s="12">
        <v>5475192.2999999998</v>
      </c>
      <c r="H108" s="37">
        <v>197026.74</v>
      </c>
      <c r="I108" s="12">
        <v>3561101.9641379309</v>
      </c>
      <c r="J108" s="37">
        <v>42333.06</v>
      </c>
      <c r="K108" s="50">
        <v>322863</v>
      </c>
      <c r="L108" s="37">
        <v>1178692.7</v>
      </c>
    </row>
    <row r="109" spans="1:12" s="6" customFormat="1" x14ac:dyDescent="0.25">
      <c r="A109" s="6" t="s">
        <v>5</v>
      </c>
      <c r="B109" s="5">
        <f t="shared" si="18"/>
        <v>8277641.6600000001</v>
      </c>
      <c r="C109" s="5"/>
      <c r="D109" s="37">
        <v>3556693</v>
      </c>
      <c r="E109" s="17">
        <f>+E116</f>
        <v>864401</v>
      </c>
      <c r="F109" s="44">
        <v>929979.32</v>
      </c>
      <c r="G109" s="12">
        <v>2640575.36</v>
      </c>
      <c r="H109" s="37">
        <v>62093.4</v>
      </c>
      <c r="I109" s="12">
        <v>87490.72</v>
      </c>
      <c r="J109" s="37">
        <v>6477.86</v>
      </c>
      <c r="K109" s="49">
        <v>59901</v>
      </c>
      <c r="L109" s="37">
        <v>70030</v>
      </c>
    </row>
    <row r="110" spans="1:12" s="6" customFormat="1" x14ac:dyDescent="0.25">
      <c r="A110" s="6" t="s">
        <v>17</v>
      </c>
      <c r="B110" s="5">
        <f t="shared" si="18"/>
        <v>4349210.2744444441</v>
      </c>
      <c r="C110" s="5"/>
      <c r="D110" s="37">
        <v>922830</v>
      </c>
      <c r="E110" s="17">
        <v>592792.18999999994</v>
      </c>
      <c r="F110" s="44">
        <v>2453157.1444444447</v>
      </c>
      <c r="G110" s="12">
        <f>-4678.68+8954.76</f>
        <v>4276.08</v>
      </c>
      <c r="H110" s="37">
        <v>49325.86</v>
      </c>
      <c r="I110" s="12">
        <v>0</v>
      </c>
      <c r="J110" s="37"/>
      <c r="K110" s="50">
        <v>291030</v>
      </c>
      <c r="L110" s="37">
        <v>35799</v>
      </c>
    </row>
    <row r="111" spans="1:12" s="6" customFormat="1" x14ac:dyDescent="0.25">
      <c r="A111" s="6" t="s">
        <v>18</v>
      </c>
      <c r="B111" s="5">
        <f t="shared" si="18"/>
        <v>-17061817.219999999</v>
      </c>
      <c r="C111" s="5"/>
      <c r="D111" s="37">
        <v>-5977403</v>
      </c>
      <c r="E111" s="17">
        <v>-1775503</v>
      </c>
      <c r="F111" s="44">
        <v>-3478700.5</v>
      </c>
      <c r="G111" s="12">
        <v>-3904822.91</v>
      </c>
      <c r="H111" s="37">
        <v>-69556.33</v>
      </c>
      <c r="I111" s="12">
        <v>-795697.48</v>
      </c>
      <c r="J111" s="37"/>
      <c r="K111" s="50"/>
      <c r="L111" s="45">
        <v>-1060134</v>
      </c>
    </row>
    <row r="112" spans="1:12" s="6" customFormat="1" x14ac:dyDescent="0.25">
      <c r="B112" s="5"/>
      <c r="C112" s="5"/>
      <c r="D112" s="37"/>
      <c r="E112" s="5"/>
      <c r="F112" s="37"/>
      <c r="G112" s="5"/>
      <c r="H112" s="37"/>
      <c r="I112" s="5"/>
      <c r="J112" s="37"/>
      <c r="K112" s="37"/>
      <c r="L112" s="45"/>
    </row>
    <row r="113" spans="1:12" s="68" customFormat="1" x14ac:dyDescent="0.25">
      <c r="A113" s="67" t="s">
        <v>19</v>
      </c>
      <c r="B113" s="68">
        <f>B106/B99</f>
        <v>4.4975360402690269E-2</v>
      </c>
      <c r="C113" s="57">
        <f>(B113-B92)/B92</f>
        <v>-5.5196921119810186E-2</v>
      </c>
      <c r="D113" s="69">
        <f>D106/D99</f>
        <v>4.0772309324603358E-2</v>
      </c>
      <c r="E113" s="68">
        <f>E106/E99</f>
        <v>4.4144571582857249E-2</v>
      </c>
      <c r="F113" s="69">
        <f>F106/F99</f>
        <v>4.6279303254114314E-2</v>
      </c>
      <c r="G113" s="68">
        <f t="shared" ref="G113:L113" si="20">G106/G99</f>
        <v>3.9535795306979905E-2</v>
      </c>
      <c r="H113" s="69">
        <f t="shared" si="20"/>
        <v>6.5246803561107125E-2</v>
      </c>
      <c r="I113" s="68">
        <f t="shared" si="20"/>
        <v>6.6842154364937345E-2</v>
      </c>
      <c r="J113" s="69">
        <f t="shared" si="20"/>
        <v>6.0752126487985267E-2</v>
      </c>
      <c r="K113" s="69">
        <f t="shared" si="20"/>
        <v>6.1443646019592027E-2</v>
      </c>
      <c r="L113" s="118">
        <f t="shared" si="20"/>
        <v>0.14480423693214678</v>
      </c>
    </row>
    <row r="114" spans="1:12" s="6" customFormat="1" x14ac:dyDescent="0.25">
      <c r="B114" s="5"/>
      <c r="C114" s="5"/>
      <c r="D114" s="37"/>
      <c r="E114" s="5"/>
      <c r="F114" s="37"/>
      <c r="G114" s="5"/>
      <c r="H114" s="37"/>
      <c r="I114" s="5"/>
      <c r="J114" s="37"/>
      <c r="K114" s="37"/>
      <c r="L114" s="45"/>
    </row>
    <row r="115" spans="1:12" s="6" customFormat="1" x14ac:dyDescent="0.25">
      <c r="B115" s="5"/>
      <c r="C115" s="5"/>
      <c r="D115" s="37"/>
      <c r="E115" s="5"/>
      <c r="F115" s="37"/>
      <c r="G115" s="5"/>
      <c r="H115" s="37"/>
      <c r="I115" s="5"/>
      <c r="J115" s="37"/>
      <c r="K115" s="37"/>
      <c r="L115" s="45"/>
    </row>
    <row r="116" spans="1:12" s="63" customFormat="1" x14ac:dyDescent="0.25">
      <c r="A116" s="65" t="s">
        <v>20</v>
      </c>
      <c r="B116" s="56">
        <f>SUM(D116:K116)</f>
        <v>8207611.6099999994</v>
      </c>
      <c r="C116" s="57">
        <f>(B116-B95)/B95</f>
        <v>-0.14765582478537734</v>
      </c>
      <c r="D116" s="55">
        <f>D109</f>
        <v>3556693</v>
      </c>
      <c r="E116" s="58">
        <v>864401</v>
      </c>
      <c r="F116" s="59">
        <f>F109</f>
        <v>929979.32</v>
      </c>
      <c r="G116" s="60">
        <v>2640575.36</v>
      </c>
      <c r="H116" s="59">
        <v>62093.35</v>
      </c>
      <c r="I116" s="60">
        <v>87490.72</v>
      </c>
      <c r="J116" s="61">
        <f>J109</f>
        <v>6477.86</v>
      </c>
      <c r="K116" s="62">
        <v>59901</v>
      </c>
      <c r="L116" s="61">
        <v>896894</v>
      </c>
    </row>
    <row r="118" spans="1:12" s="24" customFormat="1" x14ac:dyDescent="0.25">
      <c r="A118" s="22">
        <v>2013</v>
      </c>
      <c r="B118" s="23"/>
      <c r="C118" s="23" t="s">
        <v>29</v>
      </c>
      <c r="D118" s="33"/>
      <c r="E118" s="23"/>
      <c r="F118" s="33"/>
      <c r="G118" s="23"/>
      <c r="H118" s="33"/>
      <c r="I118" s="23"/>
      <c r="J118" s="33"/>
      <c r="K118" s="33"/>
      <c r="L118" s="53"/>
    </row>
    <row r="119" spans="1:12" s="20" customFormat="1" x14ac:dyDescent="0.25">
      <c r="B119" s="21" t="s">
        <v>14</v>
      </c>
      <c r="C119" s="21"/>
      <c r="D119" s="90" t="s">
        <v>6</v>
      </c>
      <c r="E119" s="51" t="s">
        <v>7</v>
      </c>
      <c r="F119" s="90" t="s">
        <v>8</v>
      </c>
      <c r="G119" s="51" t="s">
        <v>9</v>
      </c>
      <c r="H119" s="90" t="s">
        <v>10</v>
      </c>
      <c r="I119" s="51" t="s">
        <v>11</v>
      </c>
      <c r="J119" s="28" t="s">
        <v>12</v>
      </c>
      <c r="K119" s="28" t="s">
        <v>13</v>
      </c>
      <c r="L119" s="90" t="s">
        <v>26</v>
      </c>
    </row>
    <row r="120" spans="1:12" s="63" customFormat="1" x14ac:dyDescent="0.25">
      <c r="A120" s="65" t="s">
        <v>0</v>
      </c>
      <c r="B120" s="56">
        <f>SUM(D120:L120)</f>
        <v>1059240450.14</v>
      </c>
      <c r="C120" s="57">
        <f>(B120-B99)/B99</f>
        <v>3.7303923991740769E-2</v>
      </c>
      <c r="D120" s="66">
        <f>+D121+D122+D125</f>
        <v>433110484.76999998</v>
      </c>
      <c r="E120" s="66">
        <f t="shared" ref="E120:L120" si="21">+E121+E122+E125</f>
        <v>115811867.02000001</v>
      </c>
      <c r="F120" s="66">
        <f t="shared" si="21"/>
        <v>186062601</v>
      </c>
      <c r="G120" s="66">
        <f t="shared" si="21"/>
        <v>222854188</v>
      </c>
      <c r="H120" s="66">
        <f t="shared" si="21"/>
        <v>16704831.1</v>
      </c>
      <c r="I120" s="66">
        <f t="shared" si="21"/>
        <v>42400975</v>
      </c>
      <c r="J120" s="66">
        <f t="shared" si="21"/>
        <v>8017420.6799999997</v>
      </c>
      <c r="K120" s="66">
        <f t="shared" si="21"/>
        <v>18492879.57</v>
      </c>
      <c r="L120" s="66">
        <f t="shared" si="21"/>
        <v>15785203</v>
      </c>
    </row>
    <row r="121" spans="1:12" s="6" customFormat="1" x14ac:dyDescent="0.25">
      <c r="A121" s="6" t="s">
        <v>1</v>
      </c>
      <c r="B121" s="5">
        <f>SUM(D121:L121)</f>
        <v>520123430.75</v>
      </c>
      <c r="C121" s="18">
        <f>(B121-B100)/B100</f>
        <v>3.3287673811335447E-2</v>
      </c>
      <c r="D121" s="37">
        <v>214660653</v>
      </c>
      <c r="E121" s="17">
        <v>58832199</v>
      </c>
      <c r="F121" s="44">
        <v>80799845</v>
      </c>
      <c r="G121" s="12">
        <v>112220877</v>
      </c>
      <c r="H121" s="39">
        <v>9059187.8100000005</v>
      </c>
      <c r="I121" s="12">
        <v>21313511</v>
      </c>
      <c r="J121" s="37">
        <v>4485688.8600000003</v>
      </c>
      <c r="K121" s="49">
        <v>8007618.0800000001</v>
      </c>
      <c r="L121" s="37">
        <v>10743851</v>
      </c>
    </row>
    <row r="122" spans="1:12" s="6" customFormat="1" x14ac:dyDescent="0.25">
      <c r="A122" s="6" t="s">
        <v>2</v>
      </c>
      <c r="B122" s="5">
        <f>SUM(D122:L122)</f>
        <v>305806048.84999996</v>
      </c>
      <c r="C122" s="18">
        <f>(B122-B101)/B101</f>
        <v>6.1723957042815504E-2</v>
      </c>
      <c r="D122" s="37">
        <f>+SUM(D123:D124)</f>
        <v>127797197.77</v>
      </c>
      <c r="E122" s="17">
        <v>26449541.98</v>
      </c>
      <c r="F122" s="44">
        <f>57785263</f>
        <v>57785263</v>
      </c>
      <c r="G122" s="12">
        <v>66458891</v>
      </c>
      <c r="H122" s="39">
        <v>4374334.7699999996</v>
      </c>
      <c r="I122" s="12">
        <v>11755880</v>
      </c>
      <c r="J122" s="37">
        <f>+SUM(J123:J124)</f>
        <v>1948235.0599999998</v>
      </c>
      <c r="K122" s="37">
        <f>+SUM(K123:K124)</f>
        <v>6317848.2700000005</v>
      </c>
      <c r="L122" s="37">
        <f>SUM(L123:L124)</f>
        <v>2918857</v>
      </c>
    </row>
    <row r="123" spans="1:12" s="6" customFormat="1" x14ac:dyDescent="0.25">
      <c r="A123" s="15" t="s">
        <v>27</v>
      </c>
      <c r="B123" s="5"/>
      <c r="C123" s="18"/>
      <c r="D123" s="37">
        <f>121947119.47-4131061.59</f>
        <v>117816057.88</v>
      </c>
      <c r="E123" s="17"/>
      <c r="F123" s="44">
        <f>F122-F124</f>
        <v>55760429.840000004</v>
      </c>
      <c r="G123" s="12"/>
      <c r="H123" s="39">
        <v>0</v>
      </c>
      <c r="I123" s="12"/>
      <c r="J123" s="37">
        <v>1938821.41</v>
      </c>
      <c r="K123" s="49">
        <v>5629873.5700000003</v>
      </c>
      <c r="L123" s="37">
        <v>2913523</v>
      </c>
    </row>
    <row r="124" spans="1:12" s="6" customFormat="1" x14ac:dyDescent="0.25">
      <c r="A124" s="15" t="s">
        <v>28</v>
      </c>
      <c r="B124" s="5"/>
      <c r="C124" s="18"/>
      <c r="D124" s="37">
        <f>10152216.61-171076.72</f>
        <v>9981139.8899999987</v>
      </c>
      <c r="E124" s="17"/>
      <c r="F124" s="44">
        <v>2024833.16</v>
      </c>
      <c r="G124" s="12"/>
      <c r="H124" s="39">
        <v>0</v>
      </c>
      <c r="I124" s="12"/>
      <c r="J124" s="37">
        <v>9413.65</v>
      </c>
      <c r="K124" s="49">
        <v>687974.7</v>
      </c>
      <c r="L124" s="37">
        <v>5334</v>
      </c>
    </row>
    <row r="125" spans="1:12" s="6" customFormat="1" x14ac:dyDescent="0.25">
      <c r="A125" s="6" t="s">
        <v>15</v>
      </c>
      <c r="B125" s="5">
        <f>SUM(D125:L125)</f>
        <v>233310970.53999999</v>
      </c>
      <c r="C125" s="18">
        <f>(B125-B104)/B104</f>
        <v>1.5489129541180721E-2</v>
      </c>
      <c r="D125" s="37">
        <v>90652634</v>
      </c>
      <c r="E125" s="17">
        <v>30530126.039999999</v>
      </c>
      <c r="F125" s="44">
        <v>47477493</v>
      </c>
      <c r="G125" s="12">
        <v>44174420</v>
      </c>
      <c r="H125" s="39">
        <v>3271308.52</v>
      </c>
      <c r="I125" s="12">
        <v>9331584</v>
      </c>
      <c r="J125" s="37">
        <v>1583496.76</v>
      </c>
      <c r="K125" s="49">
        <v>4167413.22</v>
      </c>
      <c r="L125" s="37">
        <v>2122495</v>
      </c>
    </row>
    <row r="126" spans="1:12" s="6" customFormat="1" x14ac:dyDescent="0.25">
      <c r="B126" s="5"/>
      <c r="C126" s="5"/>
      <c r="D126" s="37"/>
      <c r="E126" s="5"/>
      <c r="F126" s="37"/>
      <c r="G126" s="5"/>
      <c r="H126" s="39"/>
      <c r="I126" s="5"/>
      <c r="J126" s="37"/>
      <c r="K126" s="37"/>
      <c r="L126" s="45"/>
    </row>
    <row r="127" spans="1:12" s="63" customFormat="1" x14ac:dyDescent="0.25">
      <c r="A127" s="65" t="s">
        <v>3</v>
      </c>
      <c r="B127" s="56">
        <f t="shared" ref="B127:B132" si="22">SUM(D127:L127)</f>
        <v>45617429.274678022</v>
      </c>
      <c r="C127" s="57">
        <f>(B127-B106)/B106</f>
        <v>-6.7293133208645526E-3</v>
      </c>
      <c r="D127" s="66">
        <f>SUM(D128:D132)</f>
        <v>16228245</v>
      </c>
      <c r="E127" s="56">
        <f t="shared" ref="E127:K127" si="23">SUM(E128:E132)</f>
        <v>4186599.5887333304</v>
      </c>
      <c r="F127" s="61">
        <f>SUM(F128:F132)</f>
        <v>9000130.5627919789</v>
      </c>
      <c r="G127" s="56">
        <f t="shared" si="23"/>
        <v>9556331.4600000009</v>
      </c>
      <c r="H127" s="61">
        <f t="shared" si="23"/>
        <v>774688.33</v>
      </c>
      <c r="I127" s="56">
        <f t="shared" si="23"/>
        <v>3061502.2331527085</v>
      </c>
      <c r="J127" s="61">
        <f t="shared" si="23"/>
        <v>501148.35</v>
      </c>
      <c r="K127" s="61">
        <f t="shared" si="23"/>
        <v>1267678.1499999999</v>
      </c>
      <c r="L127" s="61">
        <f>SUM(L128:L132)</f>
        <v>1041105.6</v>
      </c>
    </row>
    <row r="128" spans="1:12" s="6" customFormat="1" x14ac:dyDescent="0.25">
      <c r="A128" s="6" t="s">
        <v>4</v>
      </c>
      <c r="B128" s="5">
        <f t="shared" si="22"/>
        <v>27293630.53873333</v>
      </c>
      <c r="C128" s="5"/>
      <c r="D128" s="37">
        <v>10530370</v>
      </c>
      <c r="E128" s="17">
        <v>3949574.5087333303</v>
      </c>
      <c r="F128" s="44">
        <v>5301158.3099999987</v>
      </c>
      <c r="G128" s="12">
        <v>4762388.78</v>
      </c>
      <c r="H128" s="37">
        <v>596951.64</v>
      </c>
      <c r="I128" s="12">
        <v>0</v>
      </c>
      <c r="J128" s="37">
        <v>449923.13</v>
      </c>
      <c r="K128" s="50">
        <v>461487.17</v>
      </c>
      <c r="L128" s="37">
        <v>1241777</v>
      </c>
    </row>
    <row r="129" spans="1:12" s="6" customFormat="1" x14ac:dyDescent="0.25">
      <c r="A129" s="6" t="s">
        <v>16</v>
      </c>
      <c r="B129" s="5">
        <f t="shared" si="22"/>
        <v>23399839.033152707</v>
      </c>
      <c r="C129" s="5"/>
      <c r="D129" s="37">
        <v>8718008</v>
      </c>
      <c r="E129" s="17">
        <v>836693.08</v>
      </c>
      <c r="F129" s="44">
        <v>3199278.77</v>
      </c>
      <c r="G129" s="12">
        <v>6395392.9299999997</v>
      </c>
      <c r="H129" s="37">
        <v>122599.2</v>
      </c>
      <c r="I129" s="12">
        <v>3598723.9731527087</v>
      </c>
      <c r="J129" s="37">
        <v>40609.22</v>
      </c>
      <c r="K129" s="50">
        <v>334115.86</v>
      </c>
      <c r="L129" s="37">
        <v>154418</v>
      </c>
    </row>
    <row r="130" spans="1:12" s="6" customFormat="1" x14ac:dyDescent="0.25">
      <c r="A130" s="6" t="s">
        <v>5</v>
      </c>
      <c r="B130" s="5">
        <f t="shared" si="22"/>
        <v>8804140.4299999997</v>
      </c>
      <c r="C130" s="5"/>
      <c r="D130" s="37">
        <v>2938593</v>
      </c>
      <c r="E130" s="17">
        <f>+E137</f>
        <v>964532</v>
      </c>
      <c r="F130" s="44">
        <v>1405017.67</v>
      </c>
      <c r="G130" s="12">
        <v>2701538.58</v>
      </c>
      <c r="H130" s="37">
        <v>68818.25</v>
      </c>
      <c r="I130" s="12">
        <v>195610.69</v>
      </c>
      <c r="J130" s="37">
        <v>10616</v>
      </c>
      <c r="K130" s="49">
        <v>203137.24</v>
      </c>
      <c r="L130" s="37">
        <v>316277</v>
      </c>
    </row>
    <row r="131" spans="1:12" s="6" customFormat="1" x14ac:dyDescent="0.25">
      <c r="A131" s="6" t="s">
        <v>17</v>
      </c>
      <c r="B131" s="5">
        <f t="shared" si="22"/>
        <v>4096598.5227919803</v>
      </c>
      <c r="C131" s="5"/>
      <c r="D131" s="37">
        <v>746715</v>
      </c>
      <c r="E131" s="17">
        <v>279927</v>
      </c>
      <c r="F131" s="44">
        <v>2711530.1427919804</v>
      </c>
      <c r="G131" s="12">
        <f>741.31+8954.73</f>
        <v>9696.0399999999991</v>
      </c>
      <c r="H131" s="37">
        <v>57088.46</v>
      </c>
      <c r="I131" s="12">
        <v>0</v>
      </c>
      <c r="J131" s="37"/>
      <c r="K131" s="50">
        <v>268937.88</v>
      </c>
      <c r="L131" s="37">
        <v>22704</v>
      </c>
    </row>
    <row r="132" spans="1:12" s="6" customFormat="1" x14ac:dyDescent="0.25">
      <c r="A132" s="6" t="s">
        <v>18</v>
      </c>
      <c r="B132" s="5">
        <f t="shared" si="22"/>
        <v>-17976779.25</v>
      </c>
      <c r="C132" s="5"/>
      <c r="D132" s="37">
        <v>-6705441</v>
      </c>
      <c r="E132" s="17">
        <v>-1844127</v>
      </c>
      <c r="F132" s="44">
        <v>-3616854.33</v>
      </c>
      <c r="G132" s="12">
        <v>-4312684.87</v>
      </c>
      <c r="H132" s="37">
        <v>-70769.22</v>
      </c>
      <c r="I132" s="12">
        <v>-732832.43</v>
      </c>
      <c r="J132" s="37"/>
      <c r="K132" s="50"/>
      <c r="L132" s="45">
        <f>-1735176*40%</f>
        <v>-694070.4</v>
      </c>
    </row>
    <row r="133" spans="1:12" s="6" customFormat="1" x14ac:dyDescent="0.25">
      <c r="B133" s="5"/>
      <c r="C133" s="5"/>
      <c r="D133" s="37"/>
      <c r="E133" s="5"/>
      <c r="F133" s="37"/>
      <c r="G133" s="5"/>
      <c r="H133" s="37"/>
      <c r="I133" s="5"/>
      <c r="J133" s="37"/>
      <c r="K133" s="37"/>
      <c r="L133" s="45"/>
    </row>
    <row r="134" spans="1:12" s="68" customFormat="1" x14ac:dyDescent="0.25">
      <c r="A134" s="67" t="s">
        <v>19</v>
      </c>
      <c r="B134" s="68">
        <f>B127/B120</f>
        <v>4.3066169979298616E-2</v>
      </c>
      <c r="C134" s="57">
        <f>(B134-B113)/B113</f>
        <v>-4.2449697040725702E-2</v>
      </c>
      <c r="D134" s="69">
        <f>D127/D120</f>
        <v>3.7469065216968564E-2</v>
      </c>
      <c r="E134" s="68">
        <f t="shared" ref="E134:L134" si="24">E127/E120</f>
        <v>3.6150005145934916E-2</v>
      </c>
      <c r="F134" s="69">
        <f t="shared" si="24"/>
        <v>4.8371518587940081E-2</v>
      </c>
      <c r="G134" s="68">
        <f t="shared" si="24"/>
        <v>4.2881543065279977E-2</v>
      </c>
      <c r="H134" s="69">
        <f t="shared" si="24"/>
        <v>4.6375107019190391E-2</v>
      </c>
      <c r="I134" s="68">
        <f t="shared" si="24"/>
        <v>7.2203581006161033E-2</v>
      </c>
      <c r="J134" s="69">
        <f t="shared" si="24"/>
        <v>6.2507428511285254E-2</v>
      </c>
      <c r="K134" s="69">
        <f t="shared" si="24"/>
        <v>6.8549527141056263E-2</v>
      </c>
      <c r="L134" s="118">
        <f t="shared" si="24"/>
        <v>6.5954527160657986E-2</v>
      </c>
    </row>
    <row r="135" spans="1:12" s="6" customFormat="1" x14ac:dyDescent="0.25">
      <c r="B135" s="5"/>
      <c r="C135" s="5"/>
      <c r="D135" s="37"/>
      <c r="E135" s="5"/>
      <c r="F135" s="37"/>
      <c r="G135" s="5"/>
      <c r="H135" s="37"/>
      <c r="I135" s="5"/>
      <c r="J135" s="37"/>
      <c r="K135" s="37"/>
      <c r="L135" s="45"/>
    </row>
    <row r="136" spans="1:12" s="6" customFormat="1" x14ac:dyDescent="0.25">
      <c r="B136" s="5"/>
      <c r="C136" s="5"/>
      <c r="D136" s="37"/>
      <c r="E136" s="5"/>
      <c r="F136" s="37"/>
      <c r="G136" s="5"/>
      <c r="H136" s="37"/>
      <c r="I136" s="5"/>
      <c r="J136" s="37"/>
      <c r="K136" s="37"/>
      <c r="L136" s="45"/>
    </row>
    <row r="137" spans="1:12" s="63" customFormat="1" x14ac:dyDescent="0.25">
      <c r="A137" s="65" t="s">
        <v>20</v>
      </c>
      <c r="B137" s="56">
        <f>SUM(D137:K137)</f>
        <v>8487863.4299999997</v>
      </c>
      <c r="C137" s="57">
        <f>(B137-B116)/B116</f>
        <v>3.4145355959405627E-2</v>
      </c>
      <c r="D137" s="55">
        <f>D130</f>
        <v>2938593</v>
      </c>
      <c r="E137" s="58">
        <v>964532</v>
      </c>
      <c r="F137" s="59">
        <f>F130</f>
        <v>1405017.67</v>
      </c>
      <c r="G137" s="60">
        <v>2701538.58</v>
      </c>
      <c r="H137" s="59">
        <f>H130</f>
        <v>68818.25</v>
      </c>
      <c r="I137" s="60">
        <v>195610.69</v>
      </c>
      <c r="J137" s="61">
        <f>J130</f>
        <v>10616</v>
      </c>
      <c r="K137" s="62">
        <v>203137.24</v>
      </c>
      <c r="L137" s="61">
        <f>L130</f>
        <v>316277</v>
      </c>
    </row>
    <row r="139" spans="1:12" s="24" customFormat="1" x14ac:dyDescent="0.25">
      <c r="A139" s="71" t="s">
        <v>30</v>
      </c>
      <c r="B139" s="23"/>
      <c r="C139" s="23" t="s">
        <v>31</v>
      </c>
      <c r="D139" s="33"/>
      <c r="E139" s="23"/>
      <c r="F139" s="33"/>
      <c r="G139" s="23"/>
      <c r="H139" s="33"/>
      <c r="I139" s="23"/>
      <c r="J139" s="33"/>
      <c r="K139" s="33"/>
      <c r="L139" s="53"/>
    </row>
    <row r="140" spans="1:12" s="20" customFormat="1" x14ac:dyDescent="0.25">
      <c r="B140" s="21" t="s">
        <v>14</v>
      </c>
      <c r="C140" s="21"/>
      <c r="D140" s="90" t="s">
        <v>6</v>
      </c>
      <c r="E140" s="51" t="s">
        <v>7</v>
      </c>
      <c r="F140" s="90" t="s">
        <v>8</v>
      </c>
      <c r="G140" s="51" t="s">
        <v>9</v>
      </c>
      <c r="H140" s="90" t="s">
        <v>10</v>
      </c>
      <c r="I140" s="51" t="s">
        <v>11</v>
      </c>
      <c r="J140" s="90" t="s">
        <v>12</v>
      </c>
      <c r="K140" s="64" t="s">
        <v>13</v>
      </c>
      <c r="L140" s="64" t="s">
        <v>26</v>
      </c>
    </row>
    <row r="141" spans="1:12" s="63" customFormat="1" x14ac:dyDescent="0.25">
      <c r="A141" s="65" t="s">
        <v>0</v>
      </c>
      <c r="B141" s="56">
        <f>SUM(D141:L141)</f>
        <v>1091577360.27</v>
      </c>
      <c r="C141" s="57">
        <f>(B141-B120)/B120</f>
        <v>3.0528394309078756E-2</v>
      </c>
      <c r="D141" s="61">
        <f>+D142+D143+D146</f>
        <v>450734040.63999999</v>
      </c>
      <c r="E141" s="61">
        <f>E142+E143+E146</f>
        <v>131365780.74000001</v>
      </c>
      <c r="F141" s="61">
        <f>+F142+F143+F146</f>
        <v>191442747.78999996</v>
      </c>
      <c r="G141" s="61">
        <f>+G142+G143+G146</f>
        <v>237780029.46000004</v>
      </c>
      <c r="H141" s="61">
        <f>H142+H143+H146</f>
        <v>17092950.960000001</v>
      </c>
      <c r="I141" s="61">
        <f>I142+I143+I146</f>
        <v>44790905.649999999</v>
      </c>
      <c r="J141" s="55">
        <f>+J142+J143+J146</f>
        <v>8015831.7300000004</v>
      </c>
      <c r="K141" s="61">
        <f>+K142+K143+K146</f>
        <v>0</v>
      </c>
      <c r="L141" s="55">
        <f>+L142+L143+L146</f>
        <v>10355073.300000001</v>
      </c>
    </row>
    <row r="142" spans="1:12" s="6" customFormat="1" x14ac:dyDescent="0.25">
      <c r="A142" s="6" t="s">
        <v>1</v>
      </c>
      <c r="B142" s="5">
        <f>SUM(D142:L142)</f>
        <v>520401685.64000005</v>
      </c>
      <c r="C142" s="18">
        <f>(B142-B121)/B121</f>
        <v>5.3497857152639975E-4</v>
      </c>
      <c r="D142" s="37">
        <v>223356845</v>
      </c>
      <c r="E142" s="17">
        <v>58960266</v>
      </c>
      <c r="F142" s="44">
        <v>80745512.739999995</v>
      </c>
      <c r="G142" s="12">
        <v>115756218.05000001</v>
      </c>
      <c r="H142" s="39">
        <v>9240906.4800000004</v>
      </c>
      <c r="I142" s="12">
        <v>22406947.489999998</v>
      </c>
      <c r="J142" s="37">
        <v>4411841.79</v>
      </c>
      <c r="K142" s="49"/>
      <c r="L142" s="37">
        <f>1020739.13-7892.35+4841029.57-26145.43+958485.5-1059307.01-723.38-203037.94</f>
        <v>5523148.0900000008</v>
      </c>
    </row>
    <row r="143" spans="1:12" s="6" customFormat="1" x14ac:dyDescent="0.25">
      <c r="A143" s="6" t="s">
        <v>2</v>
      </c>
      <c r="B143" s="5">
        <f>SUM(D143:L143)</f>
        <v>328489719.32999998</v>
      </c>
      <c r="C143" s="18">
        <f>(B143-B122)/B122</f>
        <v>7.4176657280989627E-2</v>
      </c>
      <c r="D143" s="37">
        <f>+SUM(D144:D145)</f>
        <v>129985150.02</v>
      </c>
      <c r="E143" s="17">
        <v>42002356.340000004</v>
      </c>
      <c r="F143" s="44">
        <f>F144+F145</f>
        <v>62143046.780000001</v>
      </c>
      <c r="G143" s="12">
        <v>72626160.109999999</v>
      </c>
      <c r="H143" s="39">
        <v>4497657.2</v>
      </c>
      <c r="I143" s="12">
        <v>12432370.080000002</v>
      </c>
      <c r="J143" s="37">
        <f>+SUM(J144:J145)</f>
        <v>2000824.1300000001</v>
      </c>
      <c r="K143" s="49"/>
      <c r="L143" s="37">
        <f>L144+L145</f>
        <v>2802154.67</v>
      </c>
    </row>
    <row r="144" spans="1:12" s="6" customFormat="1" x14ac:dyDescent="0.25">
      <c r="A144" s="15" t="s">
        <v>27</v>
      </c>
      <c r="B144" s="5"/>
      <c r="C144" s="18"/>
      <c r="D144" s="37">
        <f>127934873.47-4187415.45</f>
        <v>123747458.02</v>
      </c>
      <c r="E144" s="17">
        <v>41924292.960000001</v>
      </c>
      <c r="F144" s="44">
        <v>60096920.300000004</v>
      </c>
      <c r="G144" s="12">
        <v>68057182.760000005</v>
      </c>
      <c r="H144" s="39"/>
      <c r="I144" s="12">
        <v>12164996.540000001</v>
      </c>
      <c r="J144" s="37">
        <v>1994197.36</v>
      </c>
      <c r="K144" s="49"/>
      <c r="L144" s="37">
        <f>2909470.2-30064.27-37757.81-53813.72</f>
        <v>2787834.4</v>
      </c>
    </row>
    <row r="145" spans="1:12" s="6" customFormat="1" x14ac:dyDescent="0.25">
      <c r="A145" s="15" t="s">
        <v>28</v>
      </c>
      <c r="B145" s="5"/>
      <c r="C145" s="18"/>
      <c r="D145" s="37">
        <f>6351607.73-113915.73</f>
        <v>6237692</v>
      </c>
      <c r="E145" s="17">
        <v>78063.380000000019</v>
      </c>
      <c r="F145" s="44">
        <v>2046126.48</v>
      </c>
      <c r="G145" s="12">
        <v>4568977.3499999996</v>
      </c>
      <c r="H145" s="39"/>
      <c r="I145" s="12">
        <v>267373.54000000004</v>
      </c>
      <c r="J145" s="37">
        <v>6626.77</v>
      </c>
      <c r="K145" s="49"/>
      <c r="L145" s="37">
        <v>14320.27</v>
      </c>
    </row>
    <row r="146" spans="1:12" s="6" customFormat="1" x14ac:dyDescent="0.25">
      <c r="A146" s="6" t="s">
        <v>32</v>
      </c>
      <c r="B146" s="5">
        <f>SUM(D146:L146)</f>
        <v>242685955.29999998</v>
      </c>
      <c r="C146" s="18">
        <f>(B146-B125)/B125</f>
        <v>4.0182357213214268E-2</v>
      </c>
      <c r="D146" s="37">
        <f>+SUM(D147:D148)</f>
        <v>97392045.61999999</v>
      </c>
      <c r="E146" s="17">
        <v>30403158.399999999</v>
      </c>
      <c r="F146" s="37">
        <f>F147+F148</f>
        <v>48554188.269999996</v>
      </c>
      <c r="G146" s="12">
        <v>49397651.299999997</v>
      </c>
      <c r="H146" s="39">
        <v>3354387.28</v>
      </c>
      <c r="I146" s="12">
        <v>9951588.0800000001</v>
      </c>
      <c r="J146" s="37">
        <f>+SUM(J147:J148)</f>
        <v>1603165.81</v>
      </c>
      <c r="K146" s="49"/>
      <c r="L146" s="37">
        <f>L147+L148</f>
        <v>2029770.5400000003</v>
      </c>
    </row>
    <row r="147" spans="1:12" s="6" customFormat="1" x14ac:dyDescent="0.25">
      <c r="A147" s="15" t="s">
        <v>33</v>
      </c>
      <c r="B147" s="5"/>
      <c r="C147" s="18"/>
      <c r="D147" s="37">
        <f>96398925.72-4897221.29</f>
        <v>91501704.429999992</v>
      </c>
      <c r="E147" s="17">
        <v>30352018.949999999</v>
      </c>
      <c r="F147" s="44">
        <v>46696783.149999999</v>
      </c>
      <c r="G147" s="12">
        <v>45718282.710000001</v>
      </c>
      <c r="H147" s="39"/>
      <c r="I147" s="12">
        <v>9719516.2200000007</v>
      </c>
      <c r="J147" s="37">
        <v>1601373.27</v>
      </c>
      <c r="K147" s="49"/>
      <c r="L147" s="37">
        <f>2114283.18-19811.54-37422.44-38995.68</f>
        <v>2018053.5200000003</v>
      </c>
    </row>
    <row r="148" spans="1:12" s="6" customFormat="1" x14ac:dyDescent="0.25">
      <c r="A148" s="15" t="s">
        <v>34</v>
      </c>
      <c r="B148" s="5"/>
      <c r="C148" s="18"/>
      <c r="D148" s="37">
        <f>5890341.19</f>
        <v>5890341.1900000004</v>
      </c>
      <c r="E148" s="17">
        <v>51139.45</v>
      </c>
      <c r="F148" s="44">
        <v>1857405.12</v>
      </c>
      <c r="G148" s="12">
        <v>3679368.59</v>
      </c>
      <c r="H148" s="39"/>
      <c r="I148" s="12">
        <v>232071.86</v>
      </c>
      <c r="J148" s="37">
        <v>1792.54</v>
      </c>
      <c r="K148" s="49"/>
      <c r="L148" s="37">
        <v>11717.02</v>
      </c>
    </row>
    <row r="149" spans="1:12" s="6" customFormat="1" x14ac:dyDescent="0.25">
      <c r="B149" s="5"/>
      <c r="C149" s="5"/>
      <c r="D149" s="37"/>
      <c r="E149" s="5"/>
      <c r="F149" s="37"/>
      <c r="G149" s="5"/>
      <c r="H149" s="37"/>
      <c r="I149" s="5"/>
      <c r="J149" s="37"/>
      <c r="K149" s="37"/>
      <c r="L149" s="37"/>
    </row>
    <row r="150" spans="1:12" s="63" customFormat="1" x14ac:dyDescent="0.25">
      <c r="A150" s="65" t="s">
        <v>3</v>
      </c>
      <c r="B150" s="56">
        <f t="shared" ref="B150:B155" si="25">SUM(D150:L150)</f>
        <v>44775896.179300785</v>
      </c>
      <c r="C150" s="57">
        <f>(B150-B127)/B127</f>
        <v>-1.8447622076861899E-2</v>
      </c>
      <c r="D150" s="61">
        <f>SUM(D151:D155)</f>
        <v>16175537</v>
      </c>
      <c r="E150" s="56">
        <f>SUM(E151:E155)</f>
        <v>4761988.0416000001</v>
      </c>
      <c r="F150" s="61">
        <f>SUM(F151:F155)</f>
        <v>8011264.6829777528</v>
      </c>
      <c r="G150" s="61">
        <f>SUM(G151:G155)</f>
        <v>9969251.3570054527</v>
      </c>
      <c r="H150" s="61">
        <f>SUM(H151:H156)</f>
        <v>859725.7</v>
      </c>
      <c r="I150" s="61">
        <f>SUM(I151:I156)</f>
        <v>3852699.0643842365</v>
      </c>
      <c r="J150" s="61">
        <f>SUM(J151:J155)</f>
        <v>692122.31</v>
      </c>
      <c r="K150" s="61">
        <f>SUM(K151:K155)</f>
        <v>0</v>
      </c>
      <c r="L150" s="61">
        <f>SUM(L151:L155)</f>
        <v>453308.02333333332</v>
      </c>
    </row>
    <row r="151" spans="1:12" s="6" customFormat="1" x14ac:dyDescent="0.25">
      <c r="A151" s="6" t="s">
        <v>4</v>
      </c>
      <c r="B151" s="5">
        <f t="shared" si="25"/>
        <v>27026292.364045911</v>
      </c>
      <c r="C151" s="5"/>
      <c r="D151" s="37">
        <v>11118387</v>
      </c>
      <c r="E151" s="17">
        <v>4239526.0416000001</v>
      </c>
      <c r="F151" s="37">
        <v>5448852.6521071251</v>
      </c>
      <c r="G151" s="12">
        <v>4891286.1170054544</v>
      </c>
      <c r="H151" s="37">
        <v>627737.92000000004</v>
      </c>
      <c r="I151" s="12">
        <v>0</v>
      </c>
      <c r="J151" s="37">
        <v>420439</v>
      </c>
      <c r="K151" s="50"/>
      <c r="L151" s="49">
        <f>364673.3-214974.19+((165223.49+16963.65)/6)+100000</f>
        <v>280063.6333333333</v>
      </c>
    </row>
    <row r="152" spans="1:12" s="6" customFormat="1" x14ac:dyDescent="0.25">
      <c r="A152" s="6" t="s">
        <v>16</v>
      </c>
      <c r="B152" s="5">
        <f t="shared" si="25"/>
        <v>23038249.884384234</v>
      </c>
      <c r="C152" s="5"/>
      <c r="D152" s="37">
        <v>8355506</v>
      </c>
      <c r="E152" s="17">
        <v>669434</v>
      </c>
      <c r="F152" s="37">
        <v>3188600.5200000009</v>
      </c>
      <c r="G152" s="12">
        <v>6793900.379999999</v>
      </c>
      <c r="H152" s="37">
        <v>125048.09</v>
      </c>
      <c r="I152" s="12">
        <v>3681563.7443842366</v>
      </c>
      <c r="J152" s="37">
        <v>40726</v>
      </c>
      <c r="K152" s="50"/>
      <c r="L152" s="49">
        <v>183471.15</v>
      </c>
    </row>
    <row r="153" spans="1:12" s="6" customFormat="1" x14ac:dyDescent="0.25">
      <c r="A153" s="6" t="s">
        <v>5</v>
      </c>
      <c r="B153" s="5">
        <f t="shared" si="25"/>
        <v>9015002.8883333337</v>
      </c>
      <c r="C153" s="5"/>
      <c r="D153" s="37">
        <v>3186907</v>
      </c>
      <c r="E153" s="17">
        <v>1107081</v>
      </c>
      <c r="F153" s="72">
        <v>507550.73833333317</v>
      </c>
      <c r="G153" s="12">
        <v>2873168.49</v>
      </c>
      <c r="H153" s="37">
        <v>113400.95</v>
      </c>
      <c r="I153" s="12">
        <v>955223.47000000009</v>
      </c>
      <c r="J153" s="37">
        <v>230957.31</v>
      </c>
      <c r="K153" s="49"/>
      <c r="L153" s="49">
        <v>40713.93</v>
      </c>
    </row>
    <row r="154" spans="1:12" s="6" customFormat="1" x14ac:dyDescent="0.25">
      <c r="A154" s="6" t="s">
        <v>17</v>
      </c>
      <c r="B154" s="5">
        <f t="shared" si="25"/>
        <v>3902078.7725372929</v>
      </c>
      <c r="C154" s="5"/>
      <c r="D154" s="37">
        <v>694169</v>
      </c>
      <c r="E154" s="17">
        <v>468508</v>
      </c>
      <c r="F154" s="37">
        <v>2679573.7325372929</v>
      </c>
      <c r="G154" s="12">
        <v>1397.9499999999998</v>
      </c>
      <c r="H154" s="37">
        <v>58430.09</v>
      </c>
      <c r="I154" s="12">
        <v>0</v>
      </c>
      <c r="J154" s="37"/>
      <c r="K154" s="50"/>
      <c r="L154" s="49"/>
    </row>
    <row r="155" spans="1:12" s="6" customFormat="1" x14ac:dyDescent="0.25">
      <c r="A155" s="6" t="s">
        <v>18</v>
      </c>
      <c r="B155" s="5">
        <f t="shared" si="25"/>
        <v>-18205727.73</v>
      </c>
      <c r="C155" s="5"/>
      <c r="D155" s="37">
        <v>-7179432</v>
      </c>
      <c r="E155" s="17">
        <v>-1722561</v>
      </c>
      <c r="F155" s="37">
        <v>-3813312.9599999995</v>
      </c>
      <c r="G155" s="12">
        <v>-4590501.58</v>
      </c>
      <c r="H155" s="37">
        <v>-64891.35</v>
      </c>
      <c r="I155" s="12">
        <v>-784088.14999999979</v>
      </c>
      <c r="J155" s="37"/>
      <c r="K155" s="50"/>
      <c r="L155" s="49">
        <v>-50940.69</v>
      </c>
    </row>
    <row r="156" spans="1:12" s="6" customFormat="1" x14ac:dyDescent="0.25">
      <c r="A156" s="19" t="s">
        <v>35</v>
      </c>
      <c r="B156" s="5"/>
      <c r="C156" s="5"/>
      <c r="D156" s="37"/>
      <c r="E156" s="5"/>
      <c r="F156" s="37"/>
      <c r="G156" s="12"/>
      <c r="H156" s="37"/>
      <c r="I156" s="12"/>
      <c r="J156" s="37"/>
      <c r="K156" s="50"/>
      <c r="L156" s="37"/>
    </row>
    <row r="157" spans="1:12" s="6" customFormat="1" x14ac:dyDescent="0.25">
      <c r="B157" s="5"/>
      <c r="C157" s="5"/>
      <c r="D157" s="37"/>
      <c r="E157" s="5"/>
      <c r="F157" s="37"/>
      <c r="G157" s="5"/>
      <c r="H157" s="37"/>
      <c r="I157" s="5"/>
      <c r="J157" s="37"/>
      <c r="K157" s="37"/>
      <c r="L157" s="45"/>
    </row>
    <row r="158" spans="1:12" s="68" customFormat="1" x14ac:dyDescent="0.25">
      <c r="A158" s="67" t="s">
        <v>19</v>
      </c>
      <c r="B158" s="68">
        <f>B150/B141</f>
        <v>4.1019443796659116E-2</v>
      </c>
      <c r="C158" s="57">
        <f>(B158-B134)/B134</f>
        <v>-4.7525149871078295E-2</v>
      </c>
      <c r="D158" s="69">
        <f t="shared" ref="D158:L158" si="26">D150/D141</f>
        <v>3.5887098691353016E-2</v>
      </c>
      <c r="E158" s="68">
        <f t="shared" si="26"/>
        <v>3.6249836257015493E-2</v>
      </c>
      <c r="F158" s="69">
        <f t="shared" si="26"/>
        <v>4.1846791144920154E-2</v>
      </c>
      <c r="G158" s="69">
        <f t="shared" si="26"/>
        <v>4.1926361013772631E-2</v>
      </c>
      <c r="H158" s="69">
        <f t="shared" si="26"/>
        <v>5.0297090421184937E-2</v>
      </c>
      <c r="I158" s="69">
        <f t="shared" si="26"/>
        <v>8.601520796408002E-2</v>
      </c>
      <c r="J158" s="69">
        <f t="shared" si="26"/>
        <v>8.6344416064731935E-2</v>
      </c>
      <c r="K158" s="69" t="e">
        <f t="shared" si="26"/>
        <v>#DIV/0!</v>
      </c>
      <c r="L158" s="69">
        <f t="shared" si="26"/>
        <v>4.3776418592163253E-2</v>
      </c>
    </row>
    <row r="159" spans="1:12" s="6" customFormat="1" x14ac:dyDescent="0.25">
      <c r="B159" s="5"/>
      <c r="C159" s="5"/>
      <c r="D159" s="37"/>
      <c r="E159" s="5"/>
      <c r="F159" s="37"/>
      <c r="G159" s="5"/>
      <c r="H159" s="37"/>
      <c r="I159" s="5"/>
      <c r="J159" s="37"/>
      <c r="K159" s="37"/>
      <c r="L159" s="45"/>
    </row>
    <row r="160" spans="1:12" s="6" customFormat="1" x14ac:dyDescent="0.25">
      <c r="B160" s="5"/>
      <c r="C160" s="5"/>
      <c r="D160" s="37"/>
      <c r="E160" s="17"/>
      <c r="F160" s="37"/>
      <c r="G160" s="5"/>
      <c r="H160" s="37"/>
      <c r="I160" s="5"/>
      <c r="J160" s="37"/>
      <c r="K160" s="37"/>
      <c r="L160" s="45"/>
    </row>
    <row r="161" spans="1:12" s="63" customFormat="1" x14ac:dyDescent="0.25">
      <c r="A161" s="65" t="s">
        <v>20</v>
      </c>
      <c r="B161" s="56">
        <f>SUM(D161:K161)</f>
        <v>8974288.958333334</v>
      </c>
      <c r="C161" s="57">
        <f>(B161-B137)/B137</f>
        <v>5.7308359441091319E-2</v>
      </c>
      <c r="D161" s="61">
        <f>+D153</f>
        <v>3186907</v>
      </c>
      <c r="E161" s="61">
        <f t="shared" ref="E161:L161" si="27">+E153</f>
        <v>1107081</v>
      </c>
      <c r="F161" s="61">
        <f t="shared" si="27"/>
        <v>507550.73833333317</v>
      </c>
      <c r="G161" s="61">
        <f t="shared" si="27"/>
        <v>2873168.49</v>
      </c>
      <c r="H161" s="61">
        <f t="shared" si="27"/>
        <v>113400.95</v>
      </c>
      <c r="I161" s="61">
        <f t="shared" si="27"/>
        <v>955223.47000000009</v>
      </c>
      <c r="J161" s="61">
        <f t="shared" si="27"/>
        <v>230957.31</v>
      </c>
      <c r="K161" s="61">
        <f t="shared" si="27"/>
        <v>0</v>
      </c>
      <c r="L161" s="61">
        <f t="shared" si="27"/>
        <v>40713.93</v>
      </c>
    </row>
    <row r="162" spans="1:12" s="6" customFormat="1" x14ac:dyDescent="0.25">
      <c r="A162" s="74"/>
      <c r="B162" s="5"/>
      <c r="C162" s="18"/>
      <c r="D162" s="39"/>
      <c r="E162" s="12"/>
      <c r="F162" s="43"/>
      <c r="G162" s="12"/>
      <c r="H162" s="37"/>
      <c r="I162" s="12"/>
      <c r="J162" s="37"/>
      <c r="K162" s="50"/>
      <c r="L162" s="45"/>
    </row>
    <row r="163" spans="1:12" s="6" customFormat="1" x14ac:dyDescent="0.25">
      <c r="A163" s="74"/>
      <c r="B163" s="5"/>
      <c r="C163" s="18"/>
      <c r="D163" s="39"/>
      <c r="E163" s="12"/>
      <c r="F163" s="43"/>
      <c r="G163" s="12"/>
      <c r="H163" s="43"/>
      <c r="I163" s="12"/>
      <c r="J163" s="37"/>
      <c r="K163" s="50"/>
      <c r="L163" s="45"/>
    </row>
    <row r="164" spans="1:12" s="24" customFormat="1" x14ac:dyDescent="0.25">
      <c r="A164" s="22" t="s">
        <v>36</v>
      </c>
      <c r="B164" s="23"/>
      <c r="C164" s="23" t="s">
        <v>37</v>
      </c>
      <c r="D164" s="33"/>
      <c r="E164" s="23"/>
      <c r="F164" s="33"/>
      <c r="G164" s="23"/>
      <c r="H164" s="33"/>
      <c r="I164" s="23"/>
      <c r="J164" s="33"/>
      <c r="K164" s="33"/>
      <c r="L164" s="53"/>
    </row>
    <row r="165" spans="1:12" s="20" customFormat="1" x14ac:dyDescent="0.25">
      <c r="B165" s="21" t="s">
        <v>14</v>
      </c>
      <c r="C165" s="21"/>
      <c r="D165" s="90" t="s">
        <v>6</v>
      </c>
      <c r="E165" s="51" t="s">
        <v>7</v>
      </c>
      <c r="F165" s="90" t="s">
        <v>8</v>
      </c>
      <c r="G165" s="51" t="s">
        <v>9</v>
      </c>
      <c r="H165" s="90" t="s">
        <v>10</v>
      </c>
      <c r="I165" s="51" t="s">
        <v>11</v>
      </c>
      <c r="J165" s="90" t="s">
        <v>12</v>
      </c>
      <c r="K165" s="64" t="s">
        <v>13</v>
      </c>
      <c r="L165" s="64" t="s">
        <v>26</v>
      </c>
    </row>
    <row r="166" spans="1:12" s="63" customFormat="1" x14ac:dyDescent="0.25">
      <c r="A166" s="65" t="s">
        <v>0</v>
      </c>
      <c r="B166" s="56">
        <f>SUM(D166:L166)</f>
        <v>1208067701.4799998</v>
      </c>
      <c r="C166" s="57">
        <f>(B166-B141)/B141</f>
        <v>0.10671743978016006</v>
      </c>
      <c r="D166" s="61">
        <f>D167+D168+D171</f>
        <v>519446044.97999996</v>
      </c>
      <c r="E166" s="61">
        <f>E167+E168+E171</f>
        <v>135998660.44</v>
      </c>
      <c r="F166" s="61">
        <f>F167+F168+F171</f>
        <v>209489274.75</v>
      </c>
      <c r="G166" s="61">
        <v>258799538.75999999</v>
      </c>
      <c r="H166" s="61">
        <f>SUM(H167+H168+H171)</f>
        <v>18006544.809999999</v>
      </c>
      <c r="I166" s="61">
        <f>SUM(I167+I168+I171)</f>
        <v>46780372.780000001</v>
      </c>
      <c r="J166" s="55">
        <f>+J167+J168+J171</f>
        <v>8822451.5099999998</v>
      </c>
      <c r="K166" s="61">
        <f>SUM(K167:K171)</f>
        <v>0</v>
      </c>
      <c r="L166" s="55">
        <f>+L167+L168+L171</f>
        <v>10724813.449999999</v>
      </c>
    </row>
    <row r="167" spans="1:12" s="6" customFormat="1" x14ac:dyDescent="0.25">
      <c r="A167" s="6" t="s">
        <v>1</v>
      </c>
      <c r="B167" s="5">
        <f>SUM(D167:L167)</f>
        <v>526994127.60999995</v>
      </c>
      <c r="C167" s="18">
        <f>(B167-B142)/B142</f>
        <v>1.2667987348834961E-2</v>
      </c>
      <c r="D167" s="37">
        <v>226189529</v>
      </c>
      <c r="E167" s="17">
        <v>57659343</v>
      </c>
      <c r="F167" s="44">
        <v>82519204.140000015</v>
      </c>
      <c r="G167" s="17">
        <v>119438034.52</v>
      </c>
      <c r="H167" s="39">
        <v>8945695.9199999999</v>
      </c>
      <c r="I167" s="17">
        <v>22338459.27</v>
      </c>
      <c r="J167" s="37">
        <v>4740761.78</v>
      </c>
      <c r="K167" s="44"/>
      <c r="L167" s="37">
        <v>5163099.9799999986</v>
      </c>
    </row>
    <row r="168" spans="1:12" s="6" customFormat="1" x14ac:dyDescent="0.25">
      <c r="A168" s="6" t="s">
        <v>2</v>
      </c>
      <c r="B168" s="5">
        <f>SUM(D168:L168)</f>
        <v>389805910.98999995</v>
      </c>
      <c r="C168" s="18">
        <f>+(B168-B143)/B143</f>
        <v>0.18666091524892403</v>
      </c>
      <c r="D168" s="37">
        <f>+SUM(D169:D170)</f>
        <v>168928721.71999997</v>
      </c>
      <c r="E168" s="17">
        <f>SUM(E169:E170)</f>
        <v>41905664.609999992</v>
      </c>
      <c r="F168" s="44">
        <f>F169+F170</f>
        <v>69763483.75</v>
      </c>
      <c r="G168" s="17">
        <v>84887536.030000001</v>
      </c>
      <c r="H168" s="39">
        <v>5138458.75</v>
      </c>
      <c r="I168" s="17">
        <v>13566714.16</v>
      </c>
      <c r="J168" s="37">
        <f>+SUM(J169:J170)</f>
        <v>2381736.4699999997</v>
      </c>
      <c r="K168" s="44"/>
      <c r="L168" s="37">
        <v>3233595.4999999995</v>
      </c>
    </row>
    <row r="169" spans="1:12" s="6" customFormat="1" x14ac:dyDescent="0.25">
      <c r="A169" s="15" t="s">
        <v>27</v>
      </c>
      <c r="B169" s="5"/>
      <c r="C169" s="18"/>
      <c r="D169" s="37">
        <f>162916948.85-4860814.25+124263.98</f>
        <v>158180398.57999998</v>
      </c>
      <c r="E169" s="17">
        <v>41497076.419999994</v>
      </c>
      <c r="F169" s="44">
        <v>66903349.619999997</v>
      </c>
      <c r="G169" s="17">
        <v>77876032.549999997</v>
      </c>
      <c r="H169" s="39"/>
      <c r="I169" s="17">
        <v>13258184.210000001</v>
      </c>
      <c r="J169" s="37">
        <v>2372866.0499999998</v>
      </c>
      <c r="K169" s="44"/>
      <c r="L169" s="37">
        <v>3205531.9299999997</v>
      </c>
    </row>
    <row r="170" spans="1:12" s="6" customFormat="1" x14ac:dyDescent="0.25">
      <c r="A170" s="15" t="s">
        <v>28</v>
      </c>
      <c r="B170" s="5"/>
      <c r="C170" s="18"/>
      <c r="D170" s="37">
        <f>10826504.44-80368.75+2187.45</f>
        <v>10748323.139999999</v>
      </c>
      <c r="E170" s="17">
        <v>408588.19</v>
      </c>
      <c r="F170" s="44">
        <v>2860134.13</v>
      </c>
      <c r="G170" s="17">
        <v>7011503.4800000004</v>
      </c>
      <c r="H170" s="39"/>
      <c r="I170" s="17">
        <v>308529.95000000007</v>
      </c>
      <c r="J170" s="37">
        <v>8870.42</v>
      </c>
      <c r="K170" s="44"/>
      <c r="L170" s="37">
        <v>28063.57</v>
      </c>
    </row>
    <row r="171" spans="1:12" s="6" customFormat="1" x14ac:dyDescent="0.25">
      <c r="A171" s="6" t="s">
        <v>32</v>
      </c>
      <c r="B171" s="5">
        <f>SUM(D171:L171)</f>
        <v>291267662.88</v>
      </c>
      <c r="C171" s="18">
        <f>(B171-B146)/B146</f>
        <v>0.20018343261745405</v>
      </c>
      <c r="D171" s="37">
        <f>SUM(D172:D173)</f>
        <v>124327794.25999999</v>
      </c>
      <c r="E171" s="17">
        <f>SUM(E172:E173)</f>
        <v>36433652.830000013</v>
      </c>
      <c r="F171" s="44">
        <f>F172+F173</f>
        <v>57206586.859999992</v>
      </c>
      <c r="G171" s="17">
        <v>54473968.209999993</v>
      </c>
      <c r="H171" s="39">
        <v>3922390.14</v>
      </c>
      <c r="I171" s="17">
        <v>10875199.35</v>
      </c>
      <c r="J171" s="5">
        <f>+J172+J173</f>
        <v>1699953.26</v>
      </c>
      <c r="K171" s="44"/>
      <c r="L171" s="37">
        <v>2328117.9700000002</v>
      </c>
    </row>
    <row r="172" spans="1:12" s="6" customFormat="1" x14ac:dyDescent="0.25">
      <c r="A172" s="15" t="s">
        <v>33</v>
      </c>
      <c r="B172" s="5"/>
      <c r="C172" s="18"/>
      <c r="D172" s="37">
        <f>124554736.67-5941719.73</f>
        <v>118613016.94</v>
      </c>
      <c r="E172" s="17">
        <v>36016019.410000011</v>
      </c>
      <c r="F172" s="44">
        <v>55469091.069999993</v>
      </c>
      <c r="G172" s="17">
        <v>50965184.709999993</v>
      </c>
      <c r="H172" s="39"/>
      <c r="I172" s="17">
        <v>10704277.6</v>
      </c>
      <c r="J172" s="37">
        <v>1697492.65</v>
      </c>
      <c r="K172" s="44"/>
      <c r="L172" s="37">
        <v>2312087.77</v>
      </c>
    </row>
    <row r="173" spans="1:12" s="6" customFormat="1" x14ac:dyDescent="0.25">
      <c r="A173" s="15" t="s">
        <v>34</v>
      </c>
      <c r="B173" s="5"/>
      <c r="C173" s="18"/>
      <c r="D173" s="37">
        <v>5714777.3200000003</v>
      </c>
      <c r="E173" s="17">
        <v>417633.42</v>
      </c>
      <c r="F173" s="44">
        <v>1737495.79</v>
      </c>
      <c r="G173" s="17">
        <v>3508783.5</v>
      </c>
      <c r="H173" s="39"/>
      <c r="I173" s="17">
        <v>170921.75</v>
      </c>
      <c r="J173" s="37">
        <v>2460.61</v>
      </c>
      <c r="K173" s="44"/>
      <c r="L173" s="37">
        <v>16030.2</v>
      </c>
    </row>
    <row r="174" spans="1:12" s="6" customFormat="1" x14ac:dyDescent="0.25">
      <c r="B174" s="5"/>
      <c r="C174" s="5"/>
      <c r="D174" s="37"/>
      <c r="E174" s="5"/>
      <c r="F174" s="37"/>
      <c r="G174" s="5"/>
      <c r="H174" s="37"/>
      <c r="I174" s="5"/>
      <c r="J174" s="37"/>
      <c r="K174" s="37"/>
      <c r="L174" s="37"/>
    </row>
    <row r="175" spans="1:12" s="63" customFormat="1" x14ac:dyDescent="0.25">
      <c r="A175" s="65" t="s">
        <v>3</v>
      </c>
      <c r="B175" s="56">
        <f t="shared" ref="B175:B181" si="28">SUM(D175:L175)</f>
        <v>52006747.820116296</v>
      </c>
      <c r="C175" s="73">
        <f>+(B175-B150)/B150</f>
        <v>0.16148982505811293</v>
      </c>
      <c r="D175" s="61">
        <f>SUM(D176:D180)</f>
        <v>22423141</v>
      </c>
      <c r="E175" s="56">
        <f>SUM(E176:E180)</f>
        <v>3622183</v>
      </c>
      <c r="F175" s="70">
        <f>SUM(F176:F181)</f>
        <v>8935094.3669635803</v>
      </c>
      <c r="G175" s="70">
        <f>SUM(G176:G181)</f>
        <v>11186796.73</v>
      </c>
      <c r="H175" s="70">
        <f>SUM(H176:H181)</f>
        <v>708153.6</v>
      </c>
      <c r="I175" s="70">
        <f>SUM(I176:I181)</f>
        <v>4134012.0531527093</v>
      </c>
      <c r="J175" s="61">
        <f>SUM(J176:J180)</f>
        <v>488467.62</v>
      </c>
      <c r="K175" s="62"/>
      <c r="L175" s="61">
        <f>L176+L177+L178+L179+L180+L181</f>
        <v>508899.45</v>
      </c>
    </row>
    <row r="176" spans="1:12" s="6" customFormat="1" x14ac:dyDescent="0.25">
      <c r="A176" s="6" t="s">
        <v>4</v>
      </c>
      <c r="B176" s="5">
        <f t="shared" si="28"/>
        <v>26984869.562209312</v>
      </c>
      <c r="C176" s="5"/>
      <c r="D176" s="37">
        <v>11442687</v>
      </c>
      <c r="E176" s="37">
        <v>3739264</v>
      </c>
      <c r="F176" s="37">
        <v>5654408.1222093143</v>
      </c>
      <c r="G176" s="37">
        <v>4884118.8100000005</v>
      </c>
      <c r="H176" s="37">
        <v>537640.82999999996</v>
      </c>
      <c r="I176" s="37">
        <v>0</v>
      </c>
      <c r="J176" s="37">
        <v>393533</v>
      </c>
      <c r="K176" s="49"/>
      <c r="L176" s="37">
        <v>333217.8</v>
      </c>
    </row>
    <row r="177" spans="1:15" s="6" customFormat="1" x14ac:dyDescent="0.25">
      <c r="A177" s="6" t="s">
        <v>16</v>
      </c>
      <c r="B177" s="5">
        <f t="shared" si="28"/>
        <v>25126890.043152709</v>
      </c>
      <c r="C177" s="5"/>
      <c r="D177" s="37">
        <v>10062206</v>
      </c>
      <c r="E177" s="37">
        <v>666902</v>
      </c>
      <c r="F177" s="37">
        <v>3395983.100000001</v>
      </c>
      <c r="G177" s="37">
        <v>6867804.75</v>
      </c>
      <c r="H177" s="37">
        <v>106071.24</v>
      </c>
      <c r="I177" s="37">
        <v>3790777.7531527099</v>
      </c>
      <c r="J177" s="37">
        <v>39451</v>
      </c>
      <c r="K177" s="50"/>
      <c r="L177" s="37">
        <v>197694.2</v>
      </c>
    </row>
    <row r="178" spans="1:15" s="6" customFormat="1" x14ac:dyDescent="0.25">
      <c r="A178" s="6" t="s">
        <v>5</v>
      </c>
      <c r="B178" s="5">
        <f t="shared" si="28"/>
        <v>11060146.859999999</v>
      </c>
      <c r="C178" s="5"/>
      <c r="D178" s="37">
        <v>3809589</v>
      </c>
      <c r="E178" s="37">
        <v>805164</v>
      </c>
      <c r="F178" s="37">
        <v>860103.61</v>
      </c>
      <c r="G178" s="37">
        <v>4230124.57</v>
      </c>
      <c r="H178" s="37">
        <v>66087.710000000006</v>
      </c>
      <c r="I178" s="37">
        <v>1199750.69</v>
      </c>
      <c r="J178" s="37">
        <v>55483.619999999988</v>
      </c>
      <c r="K178" s="50"/>
      <c r="L178" s="37">
        <v>33843.660000000003</v>
      </c>
    </row>
    <row r="179" spans="1:15" s="6" customFormat="1" x14ac:dyDescent="0.25">
      <c r="A179" s="6" t="s">
        <v>17</v>
      </c>
      <c r="B179" s="5">
        <f t="shared" si="28"/>
        <v>4384142.1447542645</v>
      </c>
      <c r="C179" s="5"/>
      <c r="D179" s="37">
        <v>1173869</v>
      </c>
      <c r="E179" s="37">
        <v>172856</v>
      </c>
      <c r="F179" s="37">
        <v>2969807.4647542653</v>
      </c>
      <c r="G179" s="37">
        <v>4364.51</v>
      </c>
      <c r="H179" s="37">
        <v>63245.17</v>
      </c>
      <c r="I179" s="37">
        <v>0</v>
      </c>
      <c r="J179" s="37"/>
      <c r="K179" s="37"/>
      <c r="L179" s="45"/>
    </row>
    <row r="180" spans="1:15" s="6" customFormat="1" x14ac:dyDescent="0.25">
      <c r="A180" s="6" t="s">
        <v>18</v>
      </c>
      <c r="B180" s="5">
        <f t="shared" si="28"/>
        <v>-15549300.790000001</v>
      </c>
      <c r="C180" s="18"/>
      <c r="D180" s="37">
        <v>-4065210</v>
      </c>
      <c r="E180" s="37">
        <v>-1762003</v>
      </c>
      <c r="F180" s="37">
        <v>-3945207.93</v>
      </c>
      <c r="G180" s="37">
        <v>-4799615.91</v>
      </c>
      <c r="H180" s="37">
        <v>-64891.35</v>
      </c>
      <c r="I180" s="37">
        <v>-856516.39000000036</v>
      </c>
      <c r="J180" s="37"/>
      <c r="K180" s="38"/>
      <c r="L180" s="37">
        <v>-55856.21</v>
      </c>
    </row>
    <row r="181" spans="1:15" s="6" customFormat="1" x14ac:dyDescent="0.25">
      <c r="A181" s="19" t="s">
        <v>35</v>
      </c>
      <c r="B181" s="5">
        <f t="shared" si="28"/>
        <v>0</v>
      </c>
      <c r="C181" s="5"/>
      <c r="D181" s="37"/>
      <c r="E181" s="37"/>
      <c r="F181" s="37"/>
      <c r="G181" s="37"/>
      <c r="H181" s="37">
        <v>0</v>
      </c>
      <c r="I181" s="37"/>
      <c r="J181" s="37"/>
      <c r="K181" s="37"/>
      <c r="L181" s="45"/>
    </row>
    <row r="182" spans="1:15" s="6" customFormat="1" x14ac:dyDescent="0.25">
      <c r="B182" s="5"/>
      <c r="C182" s="5"/>
      <c r="D182" s="37"/>
      <c r="E182" s="5"/>
      <c r="F182" s="37"/>
      <c r="G182" s="5"/>
      <c r="H182" s="37"/>
      <c r="I182" s="5"/>
      <c r="J182" s="37"/>
      <c r="K182" s="37"/>
      <c r="L182" s="45"/>
    </row>
    <row r="183" spans="1:15" s="63" customFormat="1" x14ac:dyDescent="0.25">
      <c r="A183" s="67" t="s">
        <v>19</v>
      </c>
      <c r="B183" s="68">
        <f>B175/B166</f>
        <v>4.3049530880101342E-2</v>
      </c>
      <c r="C183" s="57">
        <f>+(B183-B158)/B158</f>
        <v>4.9490848620613634E-2</v>
      </c>
      <c r="D183" s="69">
        <f>D175/D166</f>
        <v>4.3167411161756652E-2</v>
      </c>
      <c r="E183" s="119">
        <f>E175/E166</f>
        <v>2.6633960866092779E-2</v>
      </c>
      <c r="F183" s="69">
        <f>F175/F166</f>
        <v>4.2651798654735569E-2</v>
      </c>
      <c r="G183" s="68">
        <v>4.322572128064793E-2</v>
      </c>
      <c r="H183" s="69">
        <f>H175/H166</f>
        <v>3.9327567141405402E-2</v>
      </c>
      <c r="I183" s="69">
        <f>I175/I166</f>
        <v>8.8370652209084619E-2</v>
      </c>
      <c r="J183" s="69">
        <f>J175/J166</f>
        <v>5.5366427284563223E-2</v>
      </c>
      <c r="K183" s="62"/>
      <c r="L183" s="120">
        <f>L175/L166</f>
        <v>4.7450657521693307E-2</v>
      </c>
    </row>
    <row r="184" spans="1:15" s="6" customFormat="1" x14ac:dyDescent="0.25">
      <c r="B184" s="5"/>
      <c r="C184" s="5"/>
      <c r="D184" s="37"/>
      <c r="E184" s="5"/>
      <c r="F184" s="37"/>
      <c r="G184" s="5"/>
      <c r="H184" s="37"/>
      <c r="I184" s="5"/>
      <c r="J184" s="37"/>
      <c r="K184" s="37"/>
      <c r="L184" s="45"/>
    </row>
    <row r="185" spans="1:15" s="6" customFormat="1" x14ac:dyDescent="0.25">
      <c r="B185" s="5"/>
      <c r="C185" s="5"/>
      <c r="D185" s="37"/>
      <c r="E185" s="17"/>
      <c r="F185" s="37"/>
      <c r="G185" s="5"/>
      <c r="H185" s="37"/>
      <c r="I185" s="5"/>
      <c r="J185" s="37"/>
      <c r="K185" s="37"/>
      <c r="L185" s="45"/>
    </row>
    <row r="186" spans="1:15" s="63" customFormat="1" x14ac:dyDescent="0.25">
      <c r="A186" s="65" t="s">
        <v>20</v>
      </c>
      <c r="B186" s="56">
        <f>SUM(D186:K186)</f>
        <v>11026303.199999999</v>
      </c>
      <c r="C186" s="57">
        <f>+(B186-B161)/B161</f>
        <v>0.22865479941574743</v>
      </c>
      <c r="D186" s="61">
        <f>+D178</f>
        <v>3809589</v>
      </c>
      <c r="E186" s="61">
        <f t="shared" ref="E186:L186" si="29">+E178</f>
        <v>805164</v>
      </c>
      <c r="F186" s="61">
        <f t="shared" si="29"/>
        <v>860103.61</v>
      </c>
      <c r="G186" s="61">
        <f t="shared" si="29"/>
        <v>4230124.57</v>
      </c>
      <c r="H186" s="61">
        <f t="shared" si="29"/>
        <v>66087.710000000006</v>
      </c>
      <c r="I186" s="61">
        <f t="shared" si="29"/>
        <v>1199750.69</v>
      </c>
      <c r="J186" s="61">
        <f t="shared" si="29"/>
        <v>55483.619999999988</v>
      </c>
      <c r="K186" s="61">
        <f t="shared" si="29"/>
        <v>0</v>
      </c>
      <c r="L186" s="61">
        <f t="shared" si="29"/>
        <v>33843.660000000003</v>
      </c>
    </row>
    <row r="187" spans="1:15" s="6" customFormat="1" x14ac:dyDescent="0.25">
      <c r="A187" s="74"/>
      <c r="B187" s="5"/>
      <c r="C187" s="18"/>
      <c r="D187" s="39"/>
      <c r="E187" s="12"/>
      <c r="F187" s="43"/>
      <c r="G187" s="12"/>
      <c r="H187" s="37"/>
      <c r="I187" s="12"/>
      <c r="J187" s="37"/>
      <c r="K187" s="50"/>
      <c r="L187" s="45"/>
    </row>
    <row r="188" spans="1:15" s="6" customFormat="1" x14ac:dyDescent="0.25">
      <c r="B188" s="5"/>
      <c r="C188" s="5"/>
      <c r="D188" s="37"/>
      <c r="E188" s="5"/>
      <c r="F188" s="29"/>
      <c r="G188" s="5"/>
      <c r="H188" s="37"/>
      <c r="I188" s="5"/>
      <c r="J188" s="37"/>
      <c r="K188" s="37"/>
      <c r="L188" s="45"/>
    </row>
    <row r="189" spans="1:15" x14ac:dyDescent="0.25">
      <c r="A189" s="22" t="s">
        <v>38</v>
      </c>
      <c r="B189" s="23"/>
      <c r="C189" s="23" t="s">
        <v>39</v>
      </c>
      <c r="D189" s="33"/>
      <c r="E189" s="23"/>
      <c r="F189" s="33"/>
      <c r="G189" s="23"/>
      <c r="H189" s="33"/>
      <c r="I189" s="23"/>
      <c r="J189" s="33"/>
      <c r="K189" s="33"/>
      <c r="L189" s="53"/>
      <c r="M189" s="113"/>
      <c r="N189" s="113"/>
      <c r="O189" s="113"/>
    </row>
    <row r="190" spans="1:15" x14ac:dyDescent="0.25">
      <c r="A190" s="20"/>
      <c r="B190" s="21" t="s">
        <v>14</v>
      </c>
      <c r="C190" s="21"/>
      <c r="D190" s="64" t="s">
        <v>6</v>
      </c>
      <c r="E190" s="75" t="s">
        <v>7</v>
      </c>
      <c r="F190" s="64" t="s">
        <v>8</v>
      </c>
      <c r="G190" s="75" t="s">
        <v>9</v>
      </c>
      <c r="H190" s="64" t="s">
        <v>10</v>
      </c>
      <c r="I190" s="75" t="s">
        <v>11</v>
      </c>
      <c r="J190" s="64" t="s">
        <v>12</v>
      </c>
      <c r="K190" s="76" t="s">
        <v>13</v>
      </c>
      <c r="L190" s="64" t="s">
        <v>26</v>
      </c>
      <c r="M190" s="113"/>
      <c r="N190" s="113"/>
      <c r="O190" s="16"/>
    </row>
    <row r="191" spans="1:15" x14ac:dyDescent="0.25">
      <c r="A191" s="65" t="s">
        <v>0</v>
      </c>
      <c r="B191" s="61">
        <f>SUM(D191:L191)</f>
        <v>1242381536.1500001</v>
      </c>
      <c r="C191" s="68">
        <f>(B191-B166)/B166</f>
        <v>2.8403900400583965E-2</v>
      </c>
      <c r="D191" s="61">
        <f>D192+D193+D196</f>
        <v>525375198</v>
      </c>
      <c r="E191" s="61">
        <f>E192+E193+E196</f>
        <v>143381312.05000001</v>
      </c>
      <c r="F191" s="61">
        <f>F192+F193+F196</f>
        <v>213348434.73000002</v>
      </c>
      <c r="G191" s="61">
        <f>G192+G193+G196</f>
        <v>269606688</v>
      </c>
      <c r="H191" s="61">
        <f>SUM(H192+H193+H196)</f>
        <v>17962115.100000001</v>
      </c>
      <c r="I191" s="61">
        <f>SUM(I192+I193+I196)</f>
        <v>52783395.390000001</v>
      </c>
      <c r="J191" s="55">
        <f>SUM(J192+J193+J196)</f>
        <v>7769036.3900000006</v>
      </c>
      <c r="K191" s="77">
        <f>SUM(K192+K193+K196)</f>
        <v>0</v>
      </c>
      <c r="L191" s="61">
        <f>SUM(L192+L193+L196)</f>
        <v>12155356.490000002</v>
      </c>
      <c r="M191" s="113"/>
      <c r="N191" s="113"/>
      <c r="O191" s="113"/>
    </row>
    <row r="192" spans="1:15" x14ac:dyDescent="0.25">
      <c r="A192" s="6" t="s">
        <v>1</v>
      </c>
      <c r="B192" s="61">
        <f t="shared" ref="B192:B211" si="30">SUM(D192:L192)</f>
        <v>533923323.97000003</v>
      </c>
      <c r="C192" s="7">
        <f>(B192-B167)/B167</f>
        <v>1.3148526704510074E-2</v>
      </c>
      <c r="D192" s="37">
        <v>230177526</v>
      </c>
      <c r="E192" s="17">
        <v>60827312</v>
      </c>
      <c r="F192" s="44">
        <v>83056086</v>
      </c>
      <c r="G192" s="17">
        <v>119413479</v>
      </c>
      <c r="H192" s="39">
        <v>6878985.1100000003</v>
      </c>
      <c r="I192" s="17">
        <v>25100106.510000002</v>
      </c>
      <c r="J192" s="37">
        <v>3469208.05</v>
      </c>
      <c r="K192" s="78"/>
      <c r="L192" s="37">
        <v>5000621.3</v>
      </c>
      <c r="M192" s="113"/>
      <c r="N192" s="113"/>
      <c r="O192" s="113"/>
    </row>
    <row r="193" spans="1:12" x14ac:dyDescent="0.25">
      <c r="A193" s="6" t="s">
        <v>2</v>
      </c>
      <c r="B193" s="61">
        <f t="shared" si="30"/>
        <v>403205876.59000003</v>
      </c>
      <c r="C193" s="7">
        <f>+(B193-B168)/B168</f>
        <v>3.437599385285834E-2</v>
      </c>
      <c r="D193" s="37">
        <v>170031420</v>
      </c>
      <c r="E193" s="17">
        <f>SUM(E194:E195)</f>
        <v>43842677.210000008</v>
      </c>
      <c r="F193" s="44">
        <f>F194+F195</f>
        <v>71344719.550000012</v>
      </c>
      <c r="G193" s="17">
        <v>89633888</v>
      </c>
      <c r="H193" s="39">
        <v>6251536.75</v>
      </c>
      <c r="I193" s="17">
        <f>+SUM(I194:I195)</f>
        <v>15555248.24</v>
      </c>
      <c r="J193" s="37">
        <f>+J194+J195</f>
        <v>2378626.9300000002</v>
      </c>
      <c r="K193" s="78"/>
      <c r="L193" s="37">
        <f>L194+L195</f>
        <v>4167759.91</v>
      </c>
    </row>
    <row r="194" spans="1:12" x14ac:dyDescent="0.25">
      <c r="A194" s="15" t="s">
        <v>27</v>
      </c>
      <c r="B194" s="61">
        <f t="shared" si="30"/>
        <v>379894087.33999997</v>
      </c>
      <c r="C194" s="7"/>
      <c r="D194" s="37">
        <v>160935377</v>
      </c>
      <c r="E194" s="17">
        <v>43409119.850000009</v>
      </c>
      <c r="F194" s="44">
        <f>68917161.04-459387.1+551682.58</f>
        <v>69009456.520000011</v>
      </c>
      <c r="G194" s="17">
        <v>84551565</v>
      </c>
      <c r="H194" s="39"/>
      <c r="I194" s="17">
        <v>15456234.450000001</v>
      </c>
      <c r="J194" s="37">
        <v>2375818.27</v>
      </c>
      <c r="K194" s="78"/>
      <c r="L194" s="37">
        <f>3860270.65-23710.35+319955.95</f>
        <v>4156516.25</v>
      </c>
    </row>
    <row r="195" spans="1:12" x14ac:dyDescent="0.25">
      <c r="A195" s="15" t="s">
        <v>28</v>
      </c>
      <c r="B195" s="61">
        <f t="shared" si="30"/>
        <v>17060252.5</v>
      </c>
      <c r="C195" s="7"/>
      <c r="D195" s="37">
        <v>9096043</v>
      </c>
      <c r="E195" s="17">
        <v>433557.35999999993</v>
      </c>
      <c r="F195" s="44">
        <v>2335263.0299999998</v>
      </c>
      <c r="G195" s="17">
        <v>5082323</v>
      </c>
      <c r="H195" s="39"/>
      <c r="I195" s="17">
        <v>99013.79</v>
      </c>
      <c r="J195" s="37">
        <v>2808.66</v>
      </c>
      <c r="K195" s="78"/>
      <c r="L195" s="37">
        <v>11243.66</v>
      </c>
    </row>
    <row r="196" spans="1:12" x14ac:dyDescent="0.25">
      <c r="A196" s="6" t="s">
        <v>32</v>
      </c>
      <c r="B196" s="61">
        <f t="shared" si="30"/>
        <v>305252335.58999997</v>
      </c>
      <c r="C196" s="7">
        <f>(B196-B171)/B171</f>
        <v>4.8013131879186856E-2</v>
      </c>
      <c r="D196" s="37">
        <v>125166252</v>
      </c>
      <c r="E196" s="17">
        <f>SUM(E197:E198)</f>
        <v>38711322.840000011</v>
      </c>
      <c r="F196" s="44">
        <f>F197+F198</f>
        <v>58947629.18</v>
      </c>
      <c r="G196" s="17">
        <v>60559321</v>
      </c>
      <c r="H196" s="39">
        <v>4831593.24</v>
      </c>
      <c r="I196" s="17">
        <f>+SUM(I197:I198)</f>
        <v>12128040.639999999</v>
      </c>
      <c r="J196" s="5">
        <f>+J197+J198</f>
        <v>1921201.41</v>
      </c>
      <c r="K196" s="78"/>
      <c r="L196" s="37">
        <f>L197+L198</f>
        <v>2986975.2800000003</v>
      </c>
    </row>
    <row r="197" spans="1:12" x14ac:dyDescent="0.25">
      <c r="A197" s="15" t="s">
        <v>33</v>
      </c>
      <c r="B197" s="61">
        <f t="shared" si="30"/>
        <v>289770505.56</v>
      </c>
      <c r="C197" s="7"/>
      <c r="D197" s="37">
        <v>120512330</v>
      </c>
      <c r="E197" s="17">
        <v>38251072.980000012</v>
      </c>
      <c r="F197" s="44">
        <f>58068649.22-370806.99-331689.54</f>
        <v>57366152.689999998</v>
      </c>
      <c r="G197" s="17">
        <v>56883114</v>
      </c>
      <c r="H197" s="39"/>
      <c r="I197" s="17">
        <v>11863721.079999998</v>
      </c>
      <c r="J197" s="37">
        <v>1918593.72</v>
      </c>
      <c r="K197" s="78"/>
      <c r="L197" s="37">
        <f>2770950.47-17524.02+222094.64</f>
        <v>2975521.0900000003</v>
      </c>
    </row>
    <row r="198" spans="1:12" x14ac:dyDescent="0.25">
      <c r="A198" s="15" t="s">
        <v>34</v>
      </c>
      <c r="B198" s="61">
        <f t="shared" si="30"/>
        <v>10650206.790000001</v>
      </c>
      <c r="C198" s="7"/>
      <c r="D198" s="37">
        <v>4653922</v>
      </c>
      <c r="E198" s="17">
        <v>460249.86</v>
      </c>
      <c r="F198" s="44">
        <v>1581476.49</v>
      </c>
      <c r="G198" s="17">
        <v>3676177</v>
      </c>
      <c r="H198" s="39"/>
      <c r="I198" s="17">
        <v>264319.56</v>
      </c>
      <c r="J198" s="37">
        <v>2607.69</v>
      </c>
      <c r="K198" s="78"/>
      <c r="L198" s="37">
        <f>3398.28+8055.91</f>
        <v>11454.19</v>
      </c>
    </row>
    <row r="199" spans="1:12" x14ac:dyDescent="0.25">
      <c r="A199" s="6"/>
      <c r="B199" s="86">
        <f t="shared" si="30"/>
        <v>0</v>
      </c>
      <c r="C199" s="7"/>
      <c r="D199" s="37"/>
      <c r="E199" s="5"/>
      <c r="F199" s="37"/>
      <c r="G199" s="5"/>
      <c r="H199" s="37"/>
      <c r="I199" s="5"/>
      <c r="J199" s="37"/>
      <c r="K199" s="79"/>
      <c r="L199" s="37"/>
    </row>
    <row r="200" spans="1:12" x14ac:dyDescent="0.25">
      <c r="A200" s="65" t="s">
        <v>3</v>
      </c>
      <c r="B200" s="61">
        <f t="shared" si="30"/>
        <v>45407017.895986833</v>
      </c>
      <c r="C200" s="73">
        <f>+(B200-B175)/B175</f>
        <v>-0.12690141569622773</v>
      </c>
      <c r="D200" s="61">
        <f>SUM(D201:D205)</f>
        <v>19306639</v>
      </c>
      <c r="E200" s="56">
        <f>SUM(E201:E205)</f>
        <v>3470531</v>
      </c>
      <c r="F200" s="70">
        <f>SUM(F201:F206)</f>
        <v>9115029.129999999</v>
      </c>
      <c r="G200" s="70">
        <f>SUM(G201:G206)</f>
        <v>9065489.2599999979</v>
      </c>
      <c r="H200" s="70">
        <f>SUM(H201:H206)</f>
        <v>636802.34</v>
      </c>
      <c r="I200" s="70">
        <f>SUM(I201:I206)</f>
        <v>2867292.8708210187</v>
      </c>
      <c r="J200" s="55">
        <f>SUM(J201:J205)</f>
        <v>421602.5</v>
      </c>
      <c r="K200" s="77">
        <f>SUM(K201:K205)</f>
        <v>0</v>
      </c>
      <c r="L200" s="61">
        <f>L201+L202+L203+L205+L204+L206+L207</f>
        <v>523631.79516580579</v>
      </c>
    </row>
    <row r="201" spans="1:12" x14ac:dyDescent="0.25">
      <c r="A201" s="6" t="s">
        <v>4</v>
      </c>
      <c r="B201" s="85">
        <f t="shared" si="30"/>
        <v>27244982.293791585</v>
      </c>
      <c r="C201" s="7"/>
      <c r="D201" s="37">
        <v>11636558</v>
      </c>
      <c r="E201" s="37">
        <v>3737542</v>
      </c>
      <c r="F201" s="37">
        <v>5705278.9000000004</v>
      </c>
      <c r="G201" s="37">
        <v>4975527.84</v>
      </c>
      <c r="H201" s="37">
        <v>497571.29</v>
      </c>
      <c r="I201" s="37">
        <v>0</v>
      </c>
      <c r="J201" s="37">
        <v>330736.21000000002</v>
      </c>
      <c r="K201" s="80"/>
      <c r="L201" s="37">
        <f>(1151771.33+70426.88+250000)*(L196/L191)</f>
        <v>361768.053791588</v>
      </c>
    </row>
    <row r="202" spans="1:12" x14ac:dyDescent="0.25">
      <c r="A202" s="6" t="s">
        <v>16</v>
      </c>
      <c r="B202" s="61">
        <f t="shared" si="30"/>
        <v>23345682.952195235</v>
      </c>
      <c r="C202" s="7"/>
      <c r="D202" s="37">
        <v>7762109</v>
      </c>
      <c r="E202" s="37">
        <v>684099</v>
      </c>
      <c r="F202" s="37">
        <v>3432452.19</v>
      </c>
      <c r="G202" s="37">
        <v>7514074.9699999997</v>
      </c>
      <c r="H202" s="37">
        <v>117337.24</v>
      </c>
      <c r="I202" s="37">
        <v>3594443.7308210186</v>
      </c>
      <c r="J202" s="37">
        <v>60614.57</v>
      </c>
      <c r="K202" s="81"/>
      <c r="L202" s="37">
        <f>(96101.72+356484.22+139098.51+1375.17+2054.49+1087.75+138547.1)*L196/L191</f>
        <v>180552.25137421771</v>
      </c>
    </row>
    <row r="203" spans="1:12" x14ac:dyDescent="0.25">
      <c r="A203" s="6" t="s">
        <v>5</v>
      </c>
      <c r="B203" s="61">
        <f t="shared" si="30"/>
        <v>9299565.4000000004</v>
      </c>
      <c r="C203" s="7"/>
      <c r="D203" s="37">
        <v>5088110</v>
      </c>
      <c r="E203" s="37">
        <v>831155</v>
      </c>
      <c r="F203" s="37">
        <v>1115864.1000000001</v>
      </c>
      <c r="G203" s="37">
        <v>1993453.3199999998</v>
      </c>
      <c r="H203" s="37">
        <v>70006.33</v>
      </c>
      <c r="I203" s="37">
        <v>130011</v>
      </c>
      <c r="J203" s="37">
        <v>30251.72</v>
      </c>
      <c r="K203" s="81"/>
      <c r="L203" s="37">
        <v>40713.93</v>
      </c>
    </row>
    <row r="204" spans="1:12" x14ac:dyDescent="0.25">
      <c r="A204" s="6" t="s">
        <v>17</v>
      </c>
      <c r="B204" s="61">
        <f t="shared" si="30"/>
        <v>4866315.1099999994</v>
      </c>
      <c r="C204" s="7"/>
      <c r="D204" s="37">
        <v>1697753</v>
      </c>
      <c r="E204" s="37">
        <v>228493</v>
      </c>
      <c r="F204" s="37">
        <v>2903846.53</v>
      </c>
      <c r="G204" s="37">
        <v>-3972.5499999999997</v>
      </c>
      <c r="H204" s="37">
        <v>40195.129999999997</v>
      </c>
      <c r="I204" s="37">
        <v>0</v>
      </c>
      <c r="J204" s="37"/>
      <c r="K204" s="79"/>
    </row>
    <row r="205" spans="1:12" x14ac:dyDescent="0.25">
      <c r="A205" s="6" t="s">
        <v>18</v>
      </c>
      <c r="B205" s="66">
        <f>SUM(D205:L205)</f>
        <v>-19349527.859999999</v>
      </c>
      <c r="C205" s="7"/>
      <c r="D205" s="37">
        <v>-6877891</v>
      </c>
      <c r="E205" s="37">
        <v>-2010758</v>
      </c>
      <c r="F205" s="37">
        <v>-4042412.59</v>
      </c>
      <c r="G205" s="37">
        <v>-5413594.3200000003</v>
      </c>
      <c r="H205" s="37">
        <v>-88307.65</v>
      </c>
      <c r="I205" s="37">
        <v>-857161.85999999964</v>
      </c>
      <c r="J205" s="37"/>
      <c r="K205" s="82"/>
      <c r="L205" s="45">
        <v>-59402.44</v>
      </c>
    </row>
    <row r="206" spans="1:12" x14ac:dyDescent="0.25">
      <c r="A206" s="19" t="s">
        <v>35</v>
      </c>
      <c r="B206" s="61">
        <f t="shared" si="30"/>
        <v>0</v>
      </c>
      <c r="C206" s="7"/>
      <c r="D206" s="37"/>
      <c r="E206" s="37"/>
      <c r="F206" s="37"/>
      <c r="G206" s="37"/>
      <c r="H206" s="37">
        <v>0</v>
      </c>
      <c r="I206" s="37"/>
      <c r="J206" s="37"/>
      <c r="K206" s="79"/>
      <c r="L206" s="45"/>
    </row>
    <row r="207" spans="1:12" x14ac:dyDescent="0.25">
      <c r="A207" s="6"/>
      <c r="B207" s="86"/>
      <c r="C207" s="7"/>
      <c r="D207" s="37"/>
      <c r="E207" s="5"/>
      <c r="F207" s="37"/>
      <c r="G207" s="5"/>
      <c r="H207" s="37"/>
      <c r="I207" s="5"/>
      <c r="J207" s="37"/>
      <c r="K207" s="79"/>
      <c r="L207" s="45"/>
    </row>
    <row r="208" spans="1:12" x14ac:dyDescent="0.25">
      <c r="A208" s="67" t="s">
        <v>19</v>
      </c>
      <c r="B208" s="84">
        <f>B200/B191</f>
        <v>3.6548368254649091E-2</v>
      </c>
      <c r="C208" s="68">
        <f>+(B208-B183)/B183</f>
        <v>-0.15101587619058734</v>
      </c>
      <c r="D208" s="69">
        <f>D200/D191</f>
        <v>3.6748287839807769E-2</v>
      </c>
      <c r="E208" s="119">
        <f t="shared" ref="E208:L208" si="31">E200/E191</f>
        <v>2.4204904742326214E-2</v>
      </c>
      <c r="F208" s="69">
        <f t="shared" si="31"/>
        <v>4.2723674732066307E-2</v>
      </c>
      <c r="G208" s="69">
        <f t="shared" si="31"/>
        <v>3.3624867866779318E-2</v>
      </c>
      <c r="H208" s="69">
        <f t="shared" si="31"/>
        <v>3.5452525298649264E-2</v>
      </c>
      <c r="I208" s="69">
        <f t="shared" si="31"/>
        <v>5.4321872430439316E-2</v>
      </c>
      <c r="J208" s="69">
        <f t="shared" si="31"/>
        <v>5.4267026029466182E-2</v>
      </c>
      <c r="K208" s="83"/>
      <c r="L208" s="120">
        <f t="shared" si="31"/>
        <v>4.3078275457950448E-2</v>
      </c>
    </row>
    <row r="209" spans="1:12" x14ac:dyDescent="0.25">
      <c r="A209" s="6"/>
      <c r="B209" s="86"/>
      <c r="C209" s="7"/>
      <c r="D209" s="37"/>
      <c r="E209" s="5"/>
      <c r="F209" s="37"/>
      <c r="G209" s="5"/>
      <c r="H209" s="37"/>
      <c r="I209" s="5"/>
      <c r="J209" s="37"/>
      <c r="K209" s="79"/>
      <c r="L209" s="45"/>
    </row>
    <row r="210" spans="1:12" x14ac:dyDescent="0.25">
      <c r="A210" s="6"/>
      <c r="B210" s="86"/>
      <c r="C210" s="7"/>
      <c r="D210" s="37"/>
      <c r="E210" s="17"/>
      <c r="F210" s="37"/>
      <c r="G210" s="5"/>
      <c r="H210" s="37"/>
      <c r="I210" s="5"/>
      <c r="J210" s="37"/>
      <c r="K210" s="79"/>
      <c r="L210" s="45"/>
    </row>
    <row r="211" spans="1:12" x14ac:dyDescent="0.25">
      <c r="A211" s="65" t="s">
        <v>20</v>
      </c>
      <c r="B211" s="61">
        <f t="shared" si="30"/>
        <v>9299565.4000000004</v>
      </c>
      <c r="C211" s="68">
        <f>+(B211-B186)/B186</f>
        <v>-0.1566016976569263</v>
      </c>
      <c r="D211" s="61">
        <f t="shared" ref="D211:L211" si="32">+D203</f>
        <v>5088110</v>
      </c>
      <c r="E211" s="61">
        <f t="shared" si="32"/>
        <v>831155</v>
      </c>
      <c r="F211" s="61">
        <f t="shared" si="32"/>
        <v>1115864.1000000001</v>
      </c>
      <c r="G211" s="61">
        <f t="shared" si="32"/>
        <v>1993453.3199999998</v>
      </c>
      <c r="H211" s="61">
        <f t="shared" si="32"/>
        <v>70006.33</v>
      </c>
      <c r="I211" s="61">
        <f t="shared" si="32"/>
        <v>130011</v>
      </c>
      <c r="J211" s="61">
        <f t="shared" si="32"/>
        <v>30251.72</v>
      </c>
      <c r="K211" s="77">
        <f t="shared" si="32"/>
        <v>0</v>
      </c>
      <c r="L211" s="61">
        <f t="shared" si="32"/>
        <v>40713.93</v>
      </c>
    </row>
    <row r="212" spans="1:12" x14ac:dyDescent="0.25">
      <c r="A212" s="113"/>
      <c r="B212" s="114"/>
      <c r="C212" s="18"/>
      <c r="E212" s="114"/>
      <c r="G212" s="114"/>
      <c r="I212" s="114"/>
    </row>
    <row r="213" spans="1:12" x14ac:dyDescent="0.25">
      <c r="A213" s="22" t="s">
        <v>40</v>
      </c>
      <c r="B213" s="23"/>
      <c r="C213" s="23" t="s">
        <v>41</v>
      </c>
      <c r="D213" s="33"/>
      <c r="E213" s="23"/>
      <c r="F213" s="33"/>
      <c r="G213" s="23"/>
      <c r="H213" s="33"/>
      <c r="I213" s="23"/>
      <c r="J213" s="33"/>
      <c r="K213" s="33"/>
      <c r="L213" s="53"/>
    </row>
    <row r="214" spans="1:12" x14ac:dyDescent="0.25">
      <c r="A214" s="20"/>
      <c r="B214" s="21" t="s">
        <v>14</v>
      </c>
      <c r="C214" s="21"/>
      <c r="D214" s="90" t="s">
        <v>6</v>
      </c>
      <c r="E214" s="51" t="s">
        <v>42</v>
      </c>
      <c r="F214" s="90" t="s">
        <v>8</v>
      </c>
      <c r="G214" s="51" t="s">
        <v>9</v>
      </c>
      <c r="H214" s="90" t="s">
        <v>10</v>
      </c>
      <c r="I214" s="51" t="s">
        <v>11</v>
      </c>
      <c r="J214" s="90" t="s">
        <v>12</v>
      </c>
      <c r="K214" s="76" t="s">
        <v>13</v>
      </c>
      <c r="L214" s="90" t="s">
        <v>26</v>
      </c>
    </row>
    <row r="215" spans="1:12" x14ac:dyDescent="0.25">
      <c r="A215" s="65" t="s">
        <v>0</v>
      </c>
      <c r="B215" s="61">
        <f>SUM(D215:L215)</f>
        <v>1324341414.8600001</v>
      </c>
      <c r="C215" s="68">
        <f t="shared" ref="C215:C222" si="33">(B215-B191)/B191</f>
        <v>6.5969974862943023E-2</v>
      </c>
      <c r="D215" s="61">
        <f>D216+D217+D220</f>
        <v>579375621.9000001</v>
      </c>
      <c r="E215" s="61">
        <f>E216+E217+E220</f>
        <v>134309439.71000001</v>
      </c>
      <c r="F215" s="61">
        <f>F216+F217+F220</f>
        <v>226391516.28999999</v>
      </c>
      <c r="G215" s="61">
        <f>G216+G217+G220</f>
        <v>286083087.05000001</v>
      </c>
      <c r="H215" s="61">
        <f>SUM(H216+H217+H220)</f>
        <v>21270730.460000001</v>
      </c>
      <c r="I215" s="61">
        <f>SUM(I216+I217+I220)</f>
        <v>54889494</v>
      </c>
      <c r="J215" s="55">
        <f>SUM(J216+J217+J220)</f>
        <v>10016443.039999999</v>
      </c>
      <c r="K215" s="77">
        <f>SUM(K216+K217+K220)</f>
        <v>0</v>
      </c>
      <c r="L215" s="61">
        <f>SUM(L216+L217+L220)</f>
        <v>12005082.41</v>
      </c>
    </row>
    <row r="216" spans="1:12" x14ac:dyDescent="0.25">
      <c r="A216" s="6" t="s">
        <v>1</v>
      </c>
      <c r="B216" s="61">
        <f t="shared" ref="B216:B230" si="34">SUM(D216:L216)</f>
        <v>592189609.94999993</v>
      </c>
      <c r="C216" s="68">
        <f t="shared" si="33"/>
        <v>0.10912856465373998</v>
      </c>
      <c r="D216" s="37">
        <v>263534211.47999999</v>
      </c>
      <c r="E216" s="17">
        <v>56659975</v>
      </c>
      <c r="F216" s="44">
        <v>91381190</v>
      </c>
      <c r="G216" s="17">
        <v>134327674.05000001</v>
      </c>
      <c r="H216" s="39">
        <v>9544463.7200000007</v>
      </c>
      <c r="I216" s="37">
        <v>26042763</v>
      </c>
      <c r="J216" s="37">
        <v>5698711.3999999994</v>
      </c>
      <c r="K216" s="78"/>
      <c r="L216" s="121">
        <v>5000621.3</v>
      </c>
    </row>
    <row r="217" spans="1:12" x14ac:dyDescent="0.25">
      <c r="A217" s="6" t="s">
        <v>2</v>
      </c>
      <c r="B217" s="61">
        <f t="shared" si="34"/>
        <v>416122283.10999995</v>
      </c>
      <c r="C217" s="68">
        <f t="shared" si="33"/>
        <v>3.2034271497322374E-2</v>
      </c>
      <c r="D217" s="37">
        <v>181567061.88</v>
      </c>
      <c r="E217" s="17">
        <v>41465269.5</v>
      </c>
      <c r="F217" s="44">
        <v>75241973.829999998</v>
      </c>
      <c r="G217" s="17">
        <v>87904996</v>
      </c>
      <c r="H217" s="39">
        <v>6654447.6900000004</v>
      </c>
      <c r="I217" s="37">
        <v>16704799</v>
      </c>
      <c r="J217" s="37">
        <v>2494738.5300000003</v>
      </c>
      <c r="K217" s="78"/>
      <c r="L217" s="121">
        <v>4088996.68</v>
      </c>
    </row>
    <row r="218" spans="1:12" x14ac:dyDescent="0.25">
      <c r="A218" s="15" t="s">
        <v>27</v>
      </c>
      <c r="B218" s="61">
        <f t="shared" si="34"/>
        <v>396972731.66999996</v>
      </c>
      <c r="C218" s="68">
        <f t="shared" si="33"/>
        <v>4.4956330985785602E-2</v>
      </c>
      <c r="D218" s="37">
        <v>170375254.28</v>
      </c>
      <c r="E218" s="17">
        <v>41178464.689999998</v>
      </c>
      <c r="F218" s="44">
        <v>72676673.670000002</v>
      </c>
      <c r="G218" s="17">
        <v>82938596</v>
      </c>
      <c r="H218" s="39">
        <v>6535138.5899999999</v>
      </c>
      <c r="I218" s="37">
        <v>16703994</v>
      </c>
      <c r="J218" s="37">
        <v>2489227.35</v>
      </c>
      <c r="K218" s="78"/>
      <c r="L218" s="121">
        <v>4075383.0900000003</v>
      </c>
    </row>
    <row r="219" spans="1:12" x14ac:dyDescent="0.25">
      <c r="A219" s="15" t="s">
        <v>28</v>
      </c>
      <c r="B219" s="61">
        <f t="shared" si="34"/>
        <v>19149550.440000001</v>
      </c>
      <c r="C219" s="68">
        <f t="shared" si="33"/>
        <v>0.12246582751339709</v>
      </c>
      <c r="D219" s="37">
        <v>11191807.599999998</v>
      </c>
      <c r="E219" s="17">
        <v>286804.81</v>
      </c>
      <c r="F219" s="44">
        <v>2565300.16</v>
      </c>
      <c r="G219" s="17">
        <v>4966399</v>
      </c>
      <c r="H219" s="39">
        <v>119309.1</v>
      </c>
      <c r="I219" s="37">
        <v>805</v>
      </c>
      <c r="J219" s="37">
        <v>5511.18</v>
      </c>
      <c r="K219" s="78"/>
      <c r="L219" s="121">
        <v>13613.59</v>
      </c>
    </row>
    <row r="220" spans="1:12" x14ac:dyDescent="0.25">
      <c r="A220" s="6" t="s">
        <v>32</v>
      </c>
      <c r="B220" s="61">
        <f t="shared" si="34"/>
        <v>316029521.80000007</v>
      </c>
      <c r="C220" s="68">
        <f t="shared" si="33"/>
        <v>3.5305827191034138E-2</v>
      </c>
      <c r="D220" s="37">
        <v>134274348.54000002</v>
      </c>
      <c r="E220" s="17">
        <v>36184195.210000001</v>
      </c>
      <c r="F220" s="44">
        <v>59768352.460000001</v>
      </c>
      <c r="G220" s="17">
        <v>63850417</v>
      </c>
      <c r="H220" s="39">
        <v>5071819.05</v>
      </c>
      <c r="I220" s="37">
        <v>12141932</v>
      </c>
      <c r="J220" s="5">
        <v>1822993.1099999999</v>
      </c>
      <c r="K220" s="78"/>
      <c r="L220" s="121">
        <v>2915464.43</v>
      </c>
    </row>
    <row r="221" spans="1:12" x14ac:dyDescent="0.25">
      <c r="A221" s="15" t="s">
        <v>33</v>
      </c>
      <c r="B221" s="61">
        <f t="shared" si="34"/>
        <v>303680702.46999997</v>
      </c>
      <c r="C221" s="68">
        <f t="shared" si="33"/>
        <v>4.8004184839715219E-2</v>
      </c>
      <c r="D221" s="37">
        <v>127153523.77000001</v>
      </c>
      <c r="E221" s="17">
        <v>35753982.82</v>
      </c>
      <c r="F221" s="44">
        <v>58075826.82</v>
      </c>
      <c r="G221" s="17">
        <v>60716257</v>
      </c>
      <c r="H221" s="39">
        <v>5000309.1900000004</v>
      </c>
      <c r="I221" s="37">
        <v>12249677</v>
      </c>
      <c r="J221" s="37">
        <v>1824547.93</v>
      </c>
      <c r="K221" s="78"/>
      <c r="L221" s="121">
        <v>2906577.94</v>
      </c>
    </row>
    <row r="222" spans="1:12" x14ac:dyDescent="0.25">
      <c r="A222" s="15" t="s">
        <v>34</v>
      </c>
      <c r="B222" s="61">
        <f t="shared" si="34"/>
        <v>12348817.33</v>
      </c>
      <c r="C222" s="68">
        <f t="shared" si="33"/>
        <v>0.15949085059971863</v>
      </c>
      <c r="D222" s="37">
        <v>7120824.7700000005</v>
      </c>
      <c r="E222" s="17">
        <v>430212.39</v>
      </c>
      <c r="F222" s="44">
        <v>1692525.64</v>
      </c>
      <c r="G222" s="17">
        <v>3134159</v>
      </c>
      <c r="H222" s="39">
        <v>71509.86</v>
      </c>
      <c r="I222" s="37">
        <v>-107746</v>
      </c>
      <c r="J222" s="37">
        <v>-1554.82</v>
      </c>
      <c r="K222" s="78"/>
      <c r="L222" s="121">
        <v>8886.49</v>
      </c>
    </row>
    <row r="223" spans="1:12" x14ac:dyDescent="0.25">
      <c r="A223" s="6"/>
      <c r="B223" s="86">
        <f t="shared" si="34"/>
        <v>0</v>
      </c>
      <c r="C223" s="7"/>
      <c r="D223" s="37"/>
      <c r="E223" s="5"/>
      <c r="F223" s="37"/>
      <c r="G223" s="5"/>
      <c r="H223" s="37"/>
      <c r="I223" s="5"/>
      <c r="J223" s="37"/>
      <c r="K223" s="79"/>
      <c r="L223" s="37"/>
    </row>
    <row r="224" spans="1:12" x14ac:dyDescent="0.25">
      <c r="A224" s="65" t="s">
        <v>3</v>
      </c>
      <c r="B224" s="61">
        <f t="shared" si="34"/>
        <v>49770964.898920029</v>
      </c>
      <c r="C224" s="73">
        <f t="shared" ref="C224:C229" si="35">+(B224-B200)/B200</f>
        <v>9.6107324487365017E-2</v>
      </c>
      <c r="D224" s="61">
        <f>SUM(D225:D229)</f>
        <v>20354902.658749275</v>
      </c>
      <c r="E224" s="56">
        <f>SUM(E225:E229)</f>
        <v>5364313.41</v>
      </c>
      <c r="F224" s="70">
        <f>SUM(F225:F230)</f>
        <v>8667612.2399999984</v>
      </c>
      <c r="G224" s="70">
        <f>SUM(G225:G230)</f>
        <v>10231737.786136288</v>
      </c>
      <c r="H224" s="70">
        <f>SUM(H225:H230)</f>
        <v>699451.03</v>
      </c>
      <c r="I224" s="70">
        <f>SUM(I225:I230)</f>
        <v>3540026.8921172409</v>
      </c>
      <c r="J224" s="55">
        <f>SUM(J225:J229)</f>
        <v>510231.82999999996</v>
      </c>
      <c r="K224" s="77">
        <f>SUM(K225:K229)</f>
        <v>0</v>
      </c>
      <c r="L224" s="61">
        <f>L225+L226+L227+L228+L229+L230+L231</f>
        <v>402689.05191723263</v>
      </c>
    </row>
    <row r="225" spans="1:12" x14ac:dyDescent="0.25">
      <c r="A225" s="6" t="s">
        <v>4</v>
      </c>
      <c r="B225" s="85">
        <f t="shared" si="34"/>
        <v>27600186.176455081</v>
      </c>
      <c r="C225" s="73">
        <f t="shared" si="35"/>
        <v>1.3037405524188484E-2</v>
      </c>
      <c r="D225" s="37">
        <v>11656388.609999999</v>
      </c>
      <c r="E225" s="37">
        <v>4478196</v>
      </c>
      <c r="F225" s="37">
        <v>5403802.3499999996</v>
      </c>
      <c r="G225" s="37">
        <v>4996822.0261362884</v>
      </c>
      <c r="H225" s="39">
        <v>482982.6</v>
      </c>
      <c r="I225" s="37"/>
      <c r="J225" s="37">
        <v>419281.76</v>
      </c>
      <c r="K225" s="78"/>
      <c r="L225" s="121">
        <f>(30524+76900.9+179853.83+124721.96+38319.56+9935.07+2675.18+600+14185.94)*L217/L215</f>
        <v>162712.8303187899</v>
      </c>
    </row>
    <row r="226" spans="1:12" x14ac:dyDescent="0.25">
      <c r="A226" s="6" t="s">
        <v>16</v>
      </c>
      <c r="B226" s="61">
        <f t="shared" si="34"/>
        <v>22430559.62967648</v>
      </c>
      <c r="C226" s="73">
        <f t="shared" si="35"/>
        <v>-3.9198824227701767E-2</v>
      </c>
      <c r="D226" s="37">
        <v>7846221.0763239982</v>
      </c>
      <c r="E226" s="37">
        <v>671128</v>
      </c>
      <c r="F226" s="37">
        <v>3487424.27</v>
      </c>
      <c r="G226" s="37">
        <v>6431896.1499999994</v>
      </c>
      <c r="H226" s="39">
        <v>146128.91</v>
      </c>
      <c r="I226" s="37">
        <v>3605454.6221172409</v>
      </c>
      <c r="J226" s="37">
        <v>63870.97</v>
      </c>
      <c r="K226" s="87"/>
      <c r="L226" s="121">
        <f>(96101.72+356484.22+139098.51+1375.17+2054.49+1087.75+138547.1)*L220/L215</f>
        <v>178435.63123524556</v>
      </c>
    </row>
    <row r="227" spans="1:12" x14ac:dyDescent="0.25">
      <c r="A227" s="6" t="s">
        <v>5</v>
      </c>
      <c r="B227" s="61">
        <f t="shared" si="34"/>
        <v>12534408.390000001</v>
      </c>
      <c r="C227" s="73">
        <f t="shared" si="35"/>
        <v>0.34784883495738417</v>
      </c>
      <c r="D227" s="121">
        <v>6165034.1900000023</v>
      </c>
      <c r="E227" s="37">
        <v>1115997.4099999999</v>
      </c>
      <c r="F227" s="37">
        <v>931066.96</v>
      </c>
      <c r="G227" s="37">
        <v>3285144.51</v>
      </c>
      <c r="H227" s="39">
        <v>110701.67</v>
      </c>
      <c r="I227" s="37">
        <v>862574.27</v>
      </c>
      <c r="J227" s="37">
        <v>27079.1</v>
      </c>
      <c r="K227" s="87"/>
      <c r="L227" s="121">
        <v>36810.28</v>
      </c>
    </row>
    <row r="228" spans="1:12" x14ac:dyDescent="0.25">
      <c r="A228" s="6" t="s">
        <v>17</v>
      </c>
      <c r="B228" s="61">
        <f t="shared" si="34"/>
        <v>5638413.143444269</v>
      </c>
      <c r="C228" s="73">
        <f t="shared" si="35"/>
        <v>0.15866174219948317</v>
      </c>
      <c r="D228" s="37">
        <v>1849552.2324252776</v>
      </c>
      <c r="E228" s="37">
        <v>405254</v>
      </c>
      <c r="F228" s="37">
        <v>2767465.42</v>
      </c>
      <c r="G228" s="37">
        <v>500244.22</v>
      </c>
      <c r="H228" s="39">
        <v>37976.550000000003</v>
      </c>
      <c r="I228" s="37">
        <v>0</v>
      </c>
      <c r="J228" s="37"/>
      <c r="K228" s="79"/>
      <c r="L228" s="122">
        <f>(12745.29+13302.32+67358.89+1262.33+338.25+96815.19+6248.61+30700.32)*L217/L215</f>
        <v>77920.721018991826</v>
      </c>
    </row>
    <row r="229" spans="1:12" x14ac:dyDescent="0.25">
      <c r="A229" s="6" t="s">
        <v>18</v>
      </c>
      <c r="B229" s="66">
        <f t="shared" si="34"/>
        <v>-18432602.440655794</v>
      </c>
      <c r="C229" s="73">
        <f t="shared" si="35"/>
        <v>-4.7387482835677078E-2</v>
      </c>
      <c r="D229" s="37">
        <v>-7162293.4500000002</v>
      </c>
      <c r="E229" s="37">
        <v>-1306262</v>
      </c>
      <c r="F229" s="37">
        <v>-3922146.76</v>
      </c>
      <c r="G229" s="37">
        <v>-4982369.12</v>
      </c>
      <c r="H229" s="39">
        <v>-78338.700000000041</v>
      </c>
      <c r="I229" s="37">
        <v>-928002.00000000047</v>
      </c>
      <c r="J229" s="37"/>
      <c r="K229" s="82"/>
      <c r="L229" s="121">
        <f>(-156164.29*L217/L215)</f>
        <v>-53190.41065579468</v>
      </c>
    </row>
    <row r="230" spans="1:12" x14ac:dyDescent="0.25">
      <c r="A230" s="19" t="s">
        <v>35</v>
      </c>
      <c r="B230" s="61">
        <f t="shared" si="34"/>
        <v>0</v>
      </c>
      <c r="C230" s="73"/>
      <c r="D230" s="37"/>
      <c r="E230" s="37"/>
      <c r="F230" s="37"/>
      <c r="G230" s="37"/>
      <c r="H230" s="37"/>
      <c r="I230" s="37"/>
      <c r="J230" s="37"/>
      <c r="K230" s="79"/>
      <c r="L230" s="45"/>
    </row>
    <row r="231" spans="1:12" x14ac:dyDescent="0.25">
      <c r="A231" s="6"/>
      <c r="B231" s="86"/>
      <c r="C231" s="7"/>
      <c r="D231" s="37"/>
      <c r="E231" s="5"/>
      <c r="F231" s="37"/>
      <c r="G231" s="5"/>
      <c r="H231" s="37"/>
      <c r="I231" s="5"/>
      <c r="J231" s="37"/>
      <c r="K231" s="79"/>
      <c r="L231" s="45"/>
    </row>
    <row r="232" spans="1:12" x14ac:dyDescent="0.25">
      <c r="A232" s="67" t="s">
        <v>19</v>
      </c>
      <c r="B232" s="84">
        <f>B224/B215</f>
        <v>3.7581672173396058E-2</v>
      </c>
      <c r="C232" s="68">
        <f>+(B232-B208)/B208</f>
        <v>2.827223124018749E-2</v>
      </c>
      <c r="D232" s="69">
        <f>D224/D215</f>
        <v>3.5132480362217451E-2</v>
      </c>
      <c r="E232" s="119">
        <f t="shared" ref="E232:J232" si="36">E224/E215</f>
        <v>3.9939958215763446E-2</v>
      </c>
      <c r="F232" s="69">
        <f t="shared" si="36"/>
        <v>3.8285941019525996E-2</v>
      </c>
      <c r="G232" s="69">
        <f t="shared" si="36"/>
        <v>3.5764916729761245E-2</v>
      </c>
      <c r="H232" s="69">
        <f t="shared" si="36"/>
        <v>3.2883263285919145E-2</v>
      </c>
      <c r="I232" s="69">
        <f>I224/I215</f>
        <v>6.4493706065449269E-2</v>
      </c>
      <c r="J232" s="69">
        <f t="shared" si="36"/>
        <v>5.0939423102834315E-2</v>
      </c>
      <c r="K232" s="83"/>
      <c r="L232" s="120">
        <f>L224/L215</f>
        <v>3.3543214295788631E-2</v>
      </c>
    </row>
    <row r="233" spans="1:12" x14ac:dyDescent="0.25">
      <c r="A233" s="6"/>
      <c r="B233" s="86"/>
      <c r="C233" s="7"/>
      <c r="D233" s="37"/>
      <c r="E233" s="5"/>
      <c r="F233" s="37"/>
      <c r="G233" s="5"/>
      <c r="H233" s="37"/>
      <c r="I233" s="5"/>
      <c r="J233" s="37"/>
      <c r="K233" s="79"/>
      <c r="L233" s="45"/>
    </row>
    <row r="234" spans="1:12" x14ac:dyDescent="0.25">
      <c r="A234" s="6"/>
      <c r="B234" s="86"/>
      <c r="C234" s="7"/>
      <c r="D234" s="37"/>
      <c r="E234" s="17"/>
      <c r="F234" s="37"/>
      <c r="G234" s="5"/>
      <c r="H234" s="37"/>
      <c r="I234" s="5"/>
      <c r="J234" s="37"/>
      <c r="K234" s="79"/>
      <c r="L234" s="45"/>
    </row>
    <row r="235" spans="1:12" x14ac:dyDescent="0.25">
      <c r="A235" s="65" t="s">
        <v>20</v>
      </c>
      <c r="B235" s="61">
        <f>SUM(D235:L235)</f>
        <v>12534408.390000001</v>
      </c>
      <c r="C235" s="68">
        <f>+(B235-B211)/B211</f>
        <v>0.34784883495738417</v>
      </c>
      <c r="D235" s="61">
        <f>+D227</f>
        <v>6165034.1900000023</v>
      </c>
      <c r="E235" s="61">
        <f t="shared" ref="E235:L235" si="37">+E227</f>
        <v>1115997.4099999999</v>
      </c>
      <c r="F235" s="61">
        <f t="shared" si="37"/>
        <v>931066.96</v>
      </c>
      <c r="G235" s="61">
        <f t="shared" si="37"/>
        <v>3285144.51</v>
      </c>
      <c r="H235" s="61">
        <f t="shared" si="37"/>
        <v>110701.67</v>
      </c>
      <c r="I235" s="61">
        <f t="shared" si="37"/>
        <v>862574.27</v>
      </c>
      <c r="J235" s="61">
        <f t="shared" si="37"/>
        <v>27079.1</v>
      </c>
      <c r="K235" s="77">
        <f t="shared" si="37"/>
        <v>0</v>
      </c>
      <c r="L235" s="61">
        <f t="shared" si="37"/>
        <v>36810.28</v>
      </c>
    </row>
    <row r="236" spans="1:12" x14ac:dyDescent="0.25">
      <c r="A236" s="113"/>
      <c r="B236" s="89">
        <f>B235/B215</f>
        <v>9.464635213665841E-3</v>
      </c>
      <c r="C236" s="114"/>
      <c r="E236" s="114"/>
      <c r="G236" s="114"/>
      <c r="I236" s="114"/>
    </row>
    <row r="237" spans="1:12" x14ac:dyDescent="0.25">
      <c r="A237" s="113"/>
      <c r="B237" s="88">
        <f>(B224-B227)/B215</f>
        <v>2.8117036959730213E-2</v>
      </c>
      <c r="C237" s="114"/>
      <c r="E237" s="114"/>
      <c r="G237" s="114"/>
      <c r="I237" s="114"/>
    </row>
    <row r="239" spans="1:12" x14ac:dyDescent="0.25">
      <c r="A239" s="22" t="s">
        <v>43</v>
      </c>
      <c r="B239" s="23"/>
      <c r="C239" s="23" t="s">
        <v>44</v>
      </c>
      <c r="D239" s="33"/>
      <c r="E239" s="23"/>
      <c r="F239" s="33"/>
      <c r="G239" s="23"/>
      <c r="H239" s="33"/>
      <c r="I239" s="23"/>
      <c r="J239" s="33"/>
      <c r="K239" s="33"/>
      <c r="L239" s="53"/>
    </row>
    <row r="240" spans="1:12" x14ac:dyDescent="0.25">
      <c r="A240" s="20"/>
      <c r="B240" s="21" t="s">
        <v>14</v>
      </c>
      <c r="C240" s="21"/>
      <c r="D240" s="90" t="s">
        <v>45</v>
      </c>
      <c r="E240" s="51" t="s">
        <v>42</v>
      </c>
      <c r="F240" s="90" t="s">
        <v>8</v>
      </c>
      <c r="G240" s="51" t="s">
        <v>9</v>
      </c>
      <c r="H240" s="90" t="s">
        <v>10</v>
      </c>
      <c r="I240" s="75" t="s">
        <v>11</v>
      </c>
      <c r="J240" s="64" t="s">
        <v>12</v>
      </c>
      <c r="K240" s="64" t="s">
        <v>13</v>
      </c>
      <c r="L240" s="90" t="s">
        <v>26</v>
      </c>
    </row>
    <row r="241" spans="1:12" x14ac:dyDescent="0.25">
      <c r="A241" s="65" t="s">
        <v>0</v>
      </c>
      <c r="B241" s="61">
        <f t="shared" ref="B241:B248" si="38">SUM(D241:L241)</f>
        <v>1349832126.7916</v>
      </c>
      <c r="C241" s="68">
        <f>(B241-B215)/B215</f>
        <v>1.9247840206140916E-2</v>
      </c>
      <c r="D241" s="61">
        <f>D242+D243+D246</f>
        <v>628103759.53999996</v>
      </c>
      <c r="E241" s="61">
        <f>E242+E243+E246</f>
        <v>137221947.92999998</v>
      </c>
      <c r="F241" s="61">
        <f>F242+F246+F243</f>
        <v>235041502.87</v>
      </c>
      <c r="G241" s="61">
        <f>G242+G243+G246</f>
        <v>315534857.19</v>
      </c>
      <c r="H241" s="61">
        <f>SUM(H242+H243+H246)</f>
        <v>20828330.8116</v>
      </c>
      <c r="I241" s="77">
        <f>SUM(I242+I243+I246)</f>
        <v>0</v>
      </c>
      <c r="J241" s="77">
        <f>SUM(J242+J243+J246)</f>
        <v>0</v>
      </c>
      <c r="K241" s="77">
        <f>SUM(K242+K243+K246)</f>
        <v>0</v>
      </c>
      <c r="L241" s="61">
        <f>SUM(L242+L243+L246)</f>
        <v>13101728.450000001</v>
      </c>
    </row>
    <row r="242" spans="1:12" x14ac:dyDescent="0.25">
      <c r="A242" s="6" t="s">
        <v>1</v>
      </c>
      <c r="B242" s="61">
        <f t="shared" si="38"/>
        <v>606639341.38000011</v>
      </c>
      <c r="C242" s="68">
        <f t="shared" ref="C242:C248" si="39">(B242-B216)/B216</f>
        <v>2.4400514948616225E-2</v>
      </c>
      <c r="D242" s="95">
        <v>289392901.66000003</v>
      </c>
      <c r="E242" s="123">
        <v>57643267</v>
      </c>
      <c r="F242" s="44">
        <v>95118984.870000005</v>
      </c>
      <c r="G242" s="17">
        <v>149156786.03</v>
      </c>
      <c r="H242" s="97">
        <v>9808475.2300000004</v>
      </c>
      <c r="I242" s="76"/>
      <c r="J242" s="76"/>
      <c r="K242" s="78"/>
      <c r="L242" s="124">
        <v>5518926.5899999989</v>
      </c>
    </row>
    <row r="243" spans="1:12" x14ac:dyDescent="0.25">
      <c r="A243" s="6" t="s">
        <v>2</v>
      </c>
      <c r="B243" s="61">
        <f>SUM(D243:L243)</f>
        <v>417559199.45000005</v>
      </c>
      <c r="C243" s="68">
        <f t="shared" si="39"/>
        <v>3.4531107761423363E-3</v>
      </c>
      <c r="D243" s="95">
        <v>191780422.87</v>
      </c>
      <c r="E243" s="92">
        <v>42345902.890000045</v>
      </c>
      <c r="F243" s="92">
        <v>77321746.989999995</v>
      </c>
      <c r="G243" s="91">
        <v>95447235.989999995</v>
      </c>
      <c r="H243" s="91">
        <v>6264103.7700000005</v>
      </c>
      <c r="I243" s="76"/>
      <c r="J243" s="76"/>
      <c r="K243" s="78"/>
      <c r="L243" s="124">
        <v>4399786.9400000013</v>
      </c>
    </row>
    <row r="244" spans="1:12" x14ac:dyDescent="0.25">
      <c r="A244" s="15" t="s">
        <v>27</v>
      </c>
      <c r="B244" s="61">
        <f t="shared" si="38"/>
        <v>403029235.32000005</v>
      </c>
      <c r="C244" s="68">
        <f t="shared" si="39"/>
        <v>1.5256724623178439E-2</v>
      </c>
      <c r="D244" s="95">
        <v>185475167.87</v>
      </c>
      <c r="E244" s="123">
        <v>41641718.690000042</v>
      </c>
      <c r="F244" s="44">
        <v>75063804</v>
      </c>
      <c r="G244" s="17">
        <v>90227432.430000007</v>
      </c>
      <c r="H244" s="97">
        <v>6242410.8300000001</v>
      </c>
      <c r="I244" s="76"/>
      <c r="J244" s="76"/>
      <c r="K244" s="78"/>
      <c r="L244" s="124">
        <v>4378701.5000000009</v>
      </c>
    </row>
    <row r="245" spans="1:12" x14ac:dyDescent="0.25">
      <c r="A245" s="15" t="s">
        <v>28</v>
      </c>
      <c r="B245" s="61">
        <f t="shared" si="38"/>
        <v>14529964.139999997</v>
      </c>
      <c r="C245" s="68">
        <f t="shared" si="39"/>
        <v>-0.24123732379380097</v>
      </c>
      <c r="D245" s="95">
        <v>6305255</v>
      </c>
      <c r="E245" s="123">
        <v>704184.20000000007</v>
      </c>
      <c r="F245" s="44">
        <v>2257943</v>
      </c>
      <c r="G245" s="17">
        <v>5219803.5599999996</v>
      </c>
      <c r="H245" s="97">
        <v>21692.94</v>
      </c>
      <c r="I245" s="76"/>
      <c r="J245" s="76"/>
      <c r="K245" s="78"/>
      <c r="L245" s="124">
        <v>21085.439999999999</v>
      </c>
    </row>
    <row r="246" spans="1:12" x14ac:dyDescent="0.25">
      <c r="A246" s="6" t="s">
        <v>32</v>
      </c>
      <c r="B246" s="61">
        <f t="shared" si="38"/>
        <v>325633585.96159989</v>
      </c>
      <c r="C246" s="68">
        <f t="shared" si="39"/>
        <v>3.0389768990245685E-2</v>
      </c>
      <c r="D246" s="95">
        <v>146930435.00999999</v>
      </c>
      <c r="E246" s="92">
        <v>37232778.039999925</v>
      </c>
      <c r="F246" s="92">
        <v>62600771.009999998</v>
      </c>
      <c r="G246" s="91">
        <v>70930835.170000002</v>
      </c>
      <c r="H246" s="91">
        <v>4755751.8115999997</v>
      </c>
      <c r="I246" s="76"/>
      <c r="J246" s="76"/>
      <c r="K246" s="78"/>
      <c r="L246" s="124">
        <v>3183014.9199999995</v>
      </c>
    </row>
    <row r="247" spans="1:12" x14ac:dyDescent="0.25">
      <c r="A247" s="15" t="s">
        <v>33</v>
      </c>
      <c r="B247" s="61">
        <f t="shared" si="38"/>
        <v>313730530.92999995</v>
      </c>
      <c r="C247" s="68">
        <f t="shared" si="39"/>
        <v>3.3093404942293896E-2</v>
      </c>
      <c r="D247" s="95">
        <v>141115474.76999998</v>
      </c>
      <c r="E247" s="123">
        <v>36715393.969999924</v>
      </c>
      <c r="F247" s="44">
        <v>60621852.409999996</v>
      </c>
      <c r="G247" s="17">
        <v>67348818.069999993</v>
      </c>
      <c r="H247" s="97">
        <v>4756392.55</v>
      </c>
      <c r="I247" s="76"/>
      <c r="J247" s="76"/>
      <c r="K247" s="78"/>
      <c r="L247" s="124">
        <v>3172599.1599999997</v>
      </c>
    </row>
    <row r="248" spans="1:12" x14ac:dyDescent="0.25">
      <c r="A248" s="15" t="s">
        <v>34</v>
      </c>
      <c r="B248" s="61">
        <f t="shared" si="38"/>
        <v>11903055.0316</v>
      </c>
      <c r="C248" s="68">
        <f t="shared" si="39"/>
        <v>-3.6097570033453541E-2</v>
      </c>
      <c r="D248" s="95">
        <v>5814960.2400000002</v>
      </c>
      <c r="E248" s="123">
        <v>517384.07</v>
      </c>
      <c r="F248" s="44">
        <v>1978918.6</v>
      </c>
      <c r="G248" s="17">
        <v>3582017.1</v>
      </c>
      <c r="H248" s="97">
        <v>-640.73840000000018</v>
      </c>
      <c r="I248" s="76"/>
      <c r="J248" s="76"/>
      <c r="K248" s="78"/>
      <c r="L248" s="124">
        <v>10415.76</v>
      </c>
    </row>
    <row r="249" spans="1:12" x14ac:dyDescent="0.25">
      <c r="A249" s="6"/>
      <c r="B249" s="86"/>
      <c r="C249" s="7"/>
      <c r="D249" s="37"/>
      <c r="E249" s="5"/>
      <c r="F249" s="37"/>
      <c r="G249" s="5"/>
      <c r="H249" s="37"/>
      <c r="I249" s="76"/>
      <c r="J249" s="76"/>
      <c r="K249" s="79"/>
      <c r="L249" s="37"/>
    </row>
    <row r="250" spans="1:12" x14ac:dyDescent="0.25">
      <c r="A250" s="65" t="s">
        <v>3</v>
      </c>
      <c r="B250" s="61">
        <f t="shared" ref="B250:B256" si="40">SUM(D250:L250)</f>
        <v>51022893.237099811</v>
      </c>
      <c r="C250" s="73">
        <f t="shared" ref="C250:C255" si="41">+(B250-B224)/B224</f>
        <v>2.5153788774686731E-2</v>
      </c>
      <c r="D250" s="61">
        <f>SUM(D251:D255)</f>
        <v>23016367.231115334</v>
      </c>
      <c r="E250" s="56">
        <f>SUM(E251:E255)</f>
        <v>6674095.0180000011</v>
      </c>
      <c r="F250" s="70">
        <f>SUM(F251:F256)</f>
        <v>9701166.1762980074</v>
      </c>
      <c r="G250" s="70">
        <f>SUM(G251:G256)</f>
        <v>10463258.209999997</v>
      </c>
      <c r="H250" s="70">
        <f>SUM(H251:H256)</f>
        <v>793210.3</v>
      </c>
      <c r="I250" s="77">
        <f>SUM(I251:I256)</f>
        <v>0</v>
      </c>
      <c r="J250" s="77">
        <f>SUM(J251:J255)</f>
        <v>0</v>
      </c>
      <c r="K250" s="77">
        <f>SUM(K251:K255)</f>
        <v>0</v>
      </c>
      <c r="L250" s="61">
        <f>L251+L252+L253+L254+L255+L256+L257</f>
        <v>374796.30168648402</v>
      </c>
    </row>
    <row r="251" spans="1:12" ht="14.4" x14ac:dyDescent="0.3">
      <c r="A251" s="6" t="s">
        <v>4</v>
      </c>
      <c r="B251" s="85">
        <f t="shared" si="40"/>
        <v>30590050.089999996</v>
      </c>
      <c r="C251" s="73">
        <f t="shared" si="41"/>
        <v>0.10832767193778867</v>
      </c>
      <c r="D251" s="96">
        <v>12913909.669999996</v>
      </c>
      <c r="E251" s="92">
        <v>5262244.57</v>
      </c>
      <c r="F251" s="93">
        <v>6153430.9800000004</v>
      </c>
      <c r="G251" s="91">
        <v>5591515.1999999993</v>
      </c>
      <c r="H251" s="97">
        <v>535707.01</v>
      </c>
      <c r="I251" s="76"/>
      <c r="J251" s="76"/>
      <c r="K251" s="78"/>
      <c r="L251" s="124">
        <v>133242.66</v>
      </c>
    </row>
    <row r="252" spans="1:12" x14ac:dyDescent="0.25">
      <c r="A252" s="6" t="s">
        <v>16</v>
      </c>
      <c r="B252" s="61">
        <f t="shared" si="40"/>
        <v>19795175.261686485</v>
      </c>
      <c r="C252" s="73">
        <f t="shared" si="41"/>
        <v>-0.11749079878075272</v>
      </c>
      <c r="D252" s="95">
        <v>8025799.1399999997</v>
      </c>
      <c r="E252" s="92">
        <v>716486.51</v>
      </c>
      <c r="F252" s="92">
        <v>3532115.01</v>
      </c>
      <c r="G252" s="91">
        <v>7133930.0399999991</v>
      </c>
      <c r="H252" s="97">
        <v>165788.01000000007</v>
      </c>
      <c r="I252" s="76"/>
      <c r="J252" s="76"/>
      <c r="K252" s="87"/>
      <c r="L252" s="124">
        <f>207636.551686484+13420</f>
        <v>221056.55168648399</v>
      </c>
    </row>
    <row r="253" spans="1:12" x14ac:dyDescent="0.25">
      <c r="A253" s="6" t="s">
        <v>5</v>
      </c>
      <c r="B253" s="61">
        <f t="shared" si="40"/>
        <v>14482142.530000009</v>
      </c>
      <c r="C253" s="73">
        <f>+(B253-B227)/B227</f>
        <v>0.15539099089462555</v>
      </c>
      <c r="D253" s="125">
        <v>7714188.4200000083</v>
      </c>
      <c r="E253" s="92">
        <v>1299312.6100000001</v>
      </c>
      <c r="F253" s="92">
        <v>1172725.07</v>
      </c>
      <c r="G253" s="91">
        <v>4143990.04</v>
      </c>
      <c r="H253" s="97">
        <v>131429.29999999999</v>
      </c>
      <c r="I253" s="76"/>
      <c r="J253" s="76"/>
      <c r="K253" s="87"/>
      <c r="L253" s="124">
        <v>20497.09</v>
      </c>
    </row>
    <row r="254" spans="1:12" x14ac:dyDescent="0.25">
      <c r="A254" s="6" t="s">
        <v>17</v>
      </c>
      <c r="B254" s="61">
        <f t="shared" si="40"/>
        <v>5071145.1254133405</v>
      </c>
      <c r="C254" s="73">
        <f t="shared" si="41"/>
        <v>-0.10060774256857814</v>
      </c>
      <c r="D254" s="95">
        <v>1857424.6511153332</v>
      </c>
      <c r="E254" s="92">
        <v>644825.848</v>
      </c>
      <c r="F254" s="92">
        <v>2777258.7562980074</v>
      </c>
      <c r="G254" s="91">
        <v>-242845.55</v>
      </c>
      <c r="H254" s="97">
        <v>34481.42</v>
      </c>
      <c r="I254" s="76"/>
      <c r="J254" s="76"/>
      <c r="K254" s="79"/>
      <c r="L254" s="98"/>
    </row>
    <row r="255" spans="1:12" x14ac:dyDescent="0.25">
      <c r="A255" s="6" t="s">
        <v>18</v>
      </c>
      <c r="B255" s="66">
        <f t="shared" si="40"/>
        <v>-18915619.770000003</v>
      </c>
      <c r="C255" s="73">
        <f t="shared" si="41"/>
        <v>2.6204510779163994E-2</v>
      </c>
      <c r="D255" s="95">
        <v>-7494954.6500000004</v>
      </c>
      <c r="E255" s="92">
        <v>-1248774.52</v>
      </c>
      <c r="F255" s="92">
        <v>-3934363.64</v>
      </c>
      <c r="G255" s="91">
        <v>-6163331.5200000005</v>
      </c>
      <c r="H255" s="97">
        <v>-74195.44</v>
      </c>
      <c r="I255" s="76"/>
      <c r="J255" s="76"/>
      <c r="K255" s="82"/>
      <c r="L255" s="99"/>
    </row>
    <row r="256" spans="1:12" x14ac:dyDescent="0.25">
      <c r="A256" s="19" t="s">
        <v>35</v>
      </c>
      <c r="B256" s="61">
        <f t="shared" si="40"/>
        <v>0</v>
      </c>
      <c r="C256" s="73">
        <f>0</f>
        <v>0</v>
      </c>
      <c r="D256" s="95">
        <v>0</v>
      </c>
      <c r="E256" s="92">
        <v>0</v>
      </c>
      <c r="F256" s="92">
        <v>0</v>
      </c>
      <c r="G256" s="37"/>
      <c r="H256" s="37"/>
      <c r="I256" s="76"/>
      <c r="J256" s="76"/>
      <c r="K256" s="79"/>
      <c r="L256" s="126"/>
    </row>
    <row r="257" spans="1:12" x14ac:dyDescent="0.25">
      <c r="A257" s="6"/>
      <c r="B257" s="86"/>
      <c r="C257" s="7"/>
      <c r="D257" s="37"/>
      <c r="E257" s="5"/>
      <c r="F257" s="37"/>
      <c r="G257" s="5"/>
      <c r="H257" s="37"/>
      <c r="I257" s="76"/>
      <c r="J257" s="76"/>
      <c r="K257" s="79"/>
      <c r="L257" s="45"/>
    </row>
    <row r="258" spans="1:12" x14ac:dyDescent="0.25">
      <c r="A258" s="67" t="s">
        <v>19</v>
      </c>
      <c r="B258" s="84">
        <f>B250/B241</f>
        <v>3.7799436110900343E-2</v>
      </c>
      <c r="C258" s="68">
        <f>+(B258-B232)/B232</f>
        <v>5.7944185266572482E-3</v>
      </c>
      <c r="D258" s="69">
        <f>D250/D241</f>
        <v>3.6644211854378446E-2</v>
      </c>
      <c r="E258" s="119">
        <f>E250/E241</f>
        <v>4.863722690632994E-2</v>
      </c>
      <c r="F258" s="69">
        <f>F250/F241</f>
        <v>4.1274268832699142E-2</v>
      </c>
      <c r="G258" s="69">
        <f>G250/G241</f>
        <v>3.3160387740298128E-2</v>
      </c>
      <c r="H258" s="69">
        <f>H250/H241</f>
        <v>3.8083238987074011E-2</v>
      </c>
      <c r="I258" s="83"/>
      <c r="J258" s="83"/>
      <c r="K258" s="83"/>
      <c r="L258" s="120">
        <f>L250/L241</f>
        <v>2.8606630271480249E-2</v>
      </c>
    </row>
    <row r="259" spans="1:12" x14ac:dyDescent="0.25">
      <c r="A259" s="6"/>
      <c r="B259" s="86"/>
      <c r="C259" s="7"/>
      <c r="D259" s="37"/>
      <c r="E259" s="5"/>
      <c r="F259" s="37"/>
      <c r="G259" s="5"/>
      <c r="H259" s="37"/>
      <c r="I259" s="76"/>
      <c r="J259" s="76"/>
      <c r="K259" s="79"/>
      <c r="L259" s="45"/>
    </row>
    <row r="260" spans="1:12" x14ac:dyDescent="0.25">
      <c r="A260" s="6"/>
      <c r="B260" s="86"/>
      <c r="C260" s="7"/>
      <c r="D260" s="37"/>
      <c r="E260" s="17"/>
      <c r="F260" s="37"/>
      <c r="G260" s="5"/>
      <c r="H260" s="37"/>
      <c r="I260" s="76"/>
      <c r="J260" s="76"/>
      <c r="K260" s="79"/>
      <c r="L260" s="45"/>
    </row>
    <row r="261" spans="1:12" x14ac:dyDescent="0.25">
      <c r="A261" s="65" t="s">
        <v>20</v>
      </c>
      <c r="B261" s="61">
        <f>SUM(D261:L261)</f>
        <v>14482142.530000009</v>
      </c>
      <c r="C261" s="68">
        <f>+(B261-B235)/B235</f>
        <v>0.15539099089462555</v>
      </c>
      <c r="D261" s="61">
        <f>+D253</f>
        <v>7714188.4200000083</v>
      </c>
      <c r="E261" s="61">
        <f t="shared" ref="E261:L261" si="42">+E253</f>
        <v>1299312.6100000001</v>
      </c>
      <c r="F261" s="61">
        <f t="shared" si="42"/>
        <v>1172725.07</v>
      </c>
      <c r="G261" s="61">
        <f t="shared" si="42"/>
        <v>4143990.04</v>
      </c>
      <c r="H261" s="61">
        <f t="shared" si="42"/>
        <v>131429.29999999999</v>
      </c>
      <c r="I261" s="77">
        <f t="shared" si="42"/>
        <v>0</v>
      </c>
      <c r="J261" s="77">
        <f t="shared" si="42"/>
        <v>0</v>
      </c>
      <c r="K261" s="77">
        <f t="shared" si="42"/>
        <v>0</v>
      </c>
      <c r="L261" s="61">
        <f t="shared" si="42"/>
        <v>20497.09</v>
      </c>
    </row>
    <row r="263" spans="1:12" x14ac:dyDescent="0.25">
      <c r="A263" s="22" t="s">
        <v>46</v>
      </c>
      <c r="B263" s="23"/>
      <c r="C263" s="23" t="s">
        <v>47</v>
      </c>
      <c r="D263" s="33"/>
      <c r="E263" s="23"/>
      <c r="F263" s="33"/>
      <c r="G263" s="23"/>
      <c r="H263" s="33"/>
      <c r="I263" s="23"/>
      <c r="J263" s="33"/>
      <c r="K263" s="33"/>
      <c r="L263" s="53"/>
    </row>
    <row r="264" spans="1:12" x14ac:dyDescent="0.25">
      <c r="A264" s="20"/>
      <c r="B264" s="21" t="s">
        <v>14</v>
      </c>
      <c r="C264" s="21"/>
      <c r="D264" s="64" t="s">
        <v>45</v>
      </c>
      <c r="E264" s="75" t="s">
        <v>42</v>
      </c>
      <c r="F264" s="64" t="s">
        <v>8</v>
      </c>
      <c r="G264" s="75" t="s">
        <v>48</v>
      </c>
      <c r="H264" s="64" t="s">
        <v>10</v>
      </c>
      <c r="I264" s="75" t="s">
        <v>11</v>
      </c>
      <c r="J264" s="64" t="s">
        <v>12</v>
      </c>
      <c r="K264" s="64" t="s">
        <v>13</v>
      </c>
      <c r="L264" s="64" t="s">
        <v>49</v>
      </c>
    </row>
    <row r="265" spans="1:12" ht="14.4" x14ac:dyDescent="0.3">
      <c r="A265" s="65" t="s">
        <v>0</v>
      </c>
      <c r="B265" s="61">
        <f t="shared" ref="B265:B272" si="43">SUM(D265:L265)</f>
        <v>1387893816.3499999</v>
      </c>
      <c r="C265" s="68">
        <f t="shared" ref="C265:C272" si="44">(B265-B241)/B241</f>
        <v>2.8197350472660844E-2</v>
      </c>
      <c r="D265" s="105">
        <f>D266+D267+D270</f>
        <v>642445933.40999985</v>
      </c>
      <c r="E265" s="111">
        <f>E266+E267+E270</f>
        <v>140475608.46000001</v>
      </c>
      <c r="F265" s="61">
        <f>F266+F270+F267</f>
        <v>246124559</v>
      </c>
      <c r="G265" s="61">
        <f>G266+G267+G270</f>
        <v>324247732.41999996</v>
      </c>
      <c r="H265" s="111">
        <f>SUM(H266+H267+H270)</f>
        <v>21545287.84</v>
      </c>
      <c r="I265" s="77">
        <f>SUM(I266+I267+I270)</f>
        <v>0</v>
      </c>
      <c r="J265" s="77">
        <f>SUM(J266+J267+J270)</f>
        <v>0</v>
      </c>
      <c r="K265" s="77">
        <f>SUM(K266+K267+K270)</f>
        <v>0</v>
      </c>
      <c r="L265" s="61">
        <v>13054695.220000001</v>
      </c>
    </row>
    <row r="266" spans="1:12" ht="14.4" x14ac:dyDescent="0.3">
      <c r="A266" s="6" t="s">
        <v>1</v>
      </c>
      <c r="B266" s="61">
        <f t="shared" si="43"/>
        <v>620266848.16000009</v>
      </c>
      <c r="C266" s="68">
        <f t="shared" si="44"/>
        <v>2.2463935077141121E-2</v>
      </c>
      <c r="D266" s="105">
        <v>293846423.69999999</v>
      </c>
      <c r="E266" s="111">
        <v>59877878</v>
      </c>
      <c r="F266" s="127">
        <v>97921201</v>
      </c>
      <c r="G266" s="111">
        <v>153546058.25999999</v>
      </c>
      <c r="H266" s="112">
        <v>9724814.8399999999</v>
      </c>
      <c r="I266" s="100"/>
      <c r="J266" s="100"/>
      <c r="K266" s="101"/>
      <c r="L266" s="102">
        <v>5350472.3600000003</v>
      </c>
    </row>
    <row r="267" spans="1:12" ht="14.4" x14ac:dyDescent="0.3">
      <c r="A267" s="6" t="s">
        <v>2</v>
      </c>
      <c r="B267" s="61">
        <f t="shared" si="43"/>
        <v>431422705.69999999</v>
      </c>
      <c r="C267" s="68">
        <f t="shared" si="44"/>
        <v>3.32012952133749E-2</v>
      </c>
      <c r="D267" s="105">
        <v>197412081.38999996</v>
      </c>
      <c r="E267" s="111">
        <v>42495026.740000002</v>
      </c>
      <c r="F267" s="127">
        <v>82057710</v>
      </c>
      <c r="G267" s="111">
        <v>98261825.810000002</v>
      </c>
      <c r="H267" s="111">
        <v>6744107</v>
      </c>
      <c r="I267" s="100"/>
      <c r="J267" s="100"/>
      <c r="K267" s="101"/>
      <c r="L267" s="102">
        <v>4451954.76</v>
      </c>
    </row>
    <row r="268" spans="1:12" ht="14.4" x14ac:dyDescent="0.3">
      <c r="A268" s="15" t="s">
        <v>27</v>
      </c>
      <c r="B268" s="61">
        <f t="shared" si="43"/>
        <v>415536725.08999997</v>
      </c>
      <c r="C268" s="68">
        <f t="shared" si="44"/>
        <v>3.1033703448508233E-2</v>
      </c>
      <c r="D268" s="105">
        <v>189259703.87999997</v>
      </c>
      <c r="E268" s="116">
        <v>42413972.82</v>
      </c>
      <c r="F268" s="127">
        <v>79727757</v>
      </c>
      <c r="G268" s="111">
        <v>93032822.569999993</v>
      </c>
      <c r="H268" s="112">
        <v>6658793.4699999997</v>
      </c>
      <c r="I268" s="100"/>
      <c r="J268" s="100"/>
      <c r="K268" s="101"/>
      <c r="L268" s="102">
        <v>4443675.3499999996</v>
      </c>
    </row>
    <row r="269" spans="1:12" ht="14.4" x14ac:dyDescent="0.3">
      <c r="A269" s="15" t="s">
        <v>28</v>
      </c>
      <c r="B269" s="61">
        <f t="shared" si="43"/>
        <v>15885980.92</v>
      </c>
      <c r="C269" s="68">
        <f t="shared" si="44"/>
        <v>9.3325542095935507E-2</v>
      </c>
      <c r="D269" s="105">
        <v>8152377.5099999998</v>
      </c>
      <c r="E269" s="116">
        <v>81053.919999999998</v>
      </c>
      <c r="F269" s="127">
        <v>2329953</v>
      </c>
      <c r="G269" s="111">
        <v>5229003.24</v>
      </c>
      <c r="H269" s="112">
        <v>85313.84</v>
      </c>
      <c r="I269" s="100"/>
      <c r="J269" s="100"/>
      <c r="K269" s="101"/>
      <c r="L269" s="102">
        <v>8279.41</v>
      </c>
    </row>
    <row r="270" spans="1:12" ht="14.4" x14ac:dyDescent="0.3">
      <c r="A270" s="6" t="s">
        <v>32</v>
      </c>
      <c r="B270" s="61">
        <f t="shared" si="43"/>
        <v>336204262.49000001</v>
      </c>
      <c r="C270" s="68">
        <f t="shared" si="44"/>
        <v>3.2461874278676715E-2</v>
      </c>
      <c r="D270" s="105">
        <v>151187428.31999999</v>
      </c>
      <c r="E270" s="111">
        <v>38102703.720000006</v>
      </c>
      <c r="F270" s="127">
        <v>66145648</v>
      </c>
      <c r="G270" s="111">
        <v>72439848.349999994</v>
      </c>
      <c r="H270" s="111">
        <v>5076366</v>
      </c>
      <c r="I270" s="100"/>
      <c r="J270" s="100"/>
      <c r="K270" s="101"/>
      <c r="L270" s="102">
        <v>3252268.1</v>
      </c>
    </row>
    <row r="271" spans="1:12" ht="14.4" x14ac:dyDescent="0.3">
      <c r="A271" s="15" t="s">
        <v>33</v>
      </c>
      <c r="B271" s="61">
        <f t="shared" si="43"/>
        <v>323401916.68000001</v>
      </c>
      <c r="C271" s="68">
        <f t="shared" si="44"/>
        <v>3.0827046769502819E-2</v>
      </c>
      <c r="D271" s="105">
        <v>144519720.38</v>
      </c>
      <c r="E271" s="116">
        <v>37811833.770000003</v>
      </c>
      <c r="F271" s="127">
        <v>63880744</v>
      </c>
      <c r="G271" s="111">
        <v>68929296.129999995</v>
      </c>
      <c r="H271" s="112">
        <v>5016255.9800000004</v>
      </c>
      <c r="I271" s="100"/>
      <c r="J271" s="100"/>
      <c r="K271" s="101"/>
      <c r="L271" s="102">
        <v>3244066.42</v>
      </c>
    </row>
    <row r="272" spans="1:12" ht="14.4" x14ac:dyDescent="0.3">
      <c r="A272" s="15" t="s">
        <v>34</v>
      </c>
      <c r="B272" s="61">
        <f t="shared" si="43"/>
        <v>12802346.180000002</v>
      </c>
      <c r="C272" s="68">
        <f t="shared" si="44"/>
        <v>7.5551288808846179E-2</v>
      </c>
      <c r="D272" s="105">
        <v>6667707.9400000004</v>
      </c>
      <c r="E272" s="116">
        <v>290869.95</v>
      </c>
      <c r="F272" s="127">
        <v>2264904</v>
      </c>
      <c r="G272" s="111">
        <v>3510552.22</v>
      </c>
      <c r="H272" s="112">
        <v>60110.39</v>
      </c>
      <c r="I272" s="100"/>
      <c r="J272" s="100"/>
      <c r="K272" s="101"/>
      <c r="L272" s="102">
        <v>8201.68</v>
      </c>
    </row>
    <row r="273" spans="1:19" ht="14.4" x14ac:dyDescent="0.3">
      <c r="A273" s="6"/>
      <c r="B273" s="86"/>
      <c r="C273" s="68"/>
      <c r="D273" s="106"/>
      <c r="E273" s="114"/>
      <c r="F273" s="37"/>
      <c r="G273" s="5"/>
      <c r="I273" s="76"/>
      <c r="J273" s="76"/>
      <c r="K273" s="79"/>
      <c r="L273" s="37"/>
      <c r="M273" s="113"/>
      <c r="N273" s="113"/>
      <c r="O273" s="113"/>
      <c r="P273" s="113"/>
      <c r="Q273" s="113"/>
      <c r="R273" s="113"/>
      <c r="S273" s="113"/>
    </row>
    <row r="274" spans="1:19" ht="14.4" x14ac:dyDescent="0.3">
      <c r="A274" s="65" t="s">
        <v>3</v>
      </c>
      <c r="B274" s="61">
        <f t="shared" ref="B274:B279" si="45">SUM(D274:L274)</f>
        <v>53176980.433902375</v>
      </c>
      <c r="C274" s="68">
        <f t="shared" ref="C274:C279" si="46">(B274-B250)/B250</f>
        <v>4.221805272375817E-2</v>
      </c>
      <c r="D274" s="105">
        <f t="shared" ref="D274:K274" si="47">SUM(D275:D279)</f>
        <v>25108599.462482899</v>
      </c>
      <c r="E274" s="111">
        <f t="shared" si="47"/>
        <v>6610110.0399999991</v>
      </c>
      <c r="F274" s="61">
        <f t="shared" si="47"/>
        <v>10053208.050000001</v>
      </c>
      <c r="G274" s="61">
        <f t="shared" si="47"/>
        <v>10170529.41</v>
      </c>
      <c r="H274" s="111">
        <f t="shared" si="47"/>
        <v>872656.76</v>
      </c>
      <c r="I274" s="61">
        <f t="shared" si="47"/>
        <v>0</v>
      </c>
      <c r="J274" s="61">
        <f t="shared" si="47"/>
        <v>0</v>
      </c>
      <c r="K274" s="61">
        <f t="shared" si="47"/>
        <v>0</v>
      </c>
      <c r="L274" s="61">
        <v>361876.71141947788</v>
      </c>
      <c r="M274" s="113"/>
      <c r="N274" s="113"/>
      <c r="O274" s="113"/>
      <c r="P274" s="113"/>
      <c r="Q274" s="113"/>
      <c r="R274" s="113"/>
      <c r="S274" s="113"/>
    </row>
    <row r="275" spans="1:19" ht="14.4" x14ac:dyDescent="0.3">
      <c r="A275" s="6" t="s">
        <v>4</v>
      </c>
      <c r="B275" s="85">
        <f t="shared" si="45"/>
        <v>31443085.031377099</v>
      </c>
      <c r="C275" s="68">
        <f t="shared" si="46"/>
        <v>2.7886026301603334E-2</v>
      </c>
      <c r="D275" s="107">
        <v>13577740.551377101</v>
      </c>
      <c r="E275" s="110">
        <v>4865102</v>
      </c>
      <c r="F275" s="104">
        <v>6443110.0499999998</v>
      </c>
      <c r="G275" s="91">
        <v>5712920.5999999996</v>
      </c>
      <c r="H275" s="34">
        <v>655211.82999999996</v>
      </c>
      <c r="I275" s="76"/>
      <c r="J275" s="76"/>
      <c r="K275" s="78"/>
      <c r="L275" s="124">
        <v>189000</v>
      </c>
      <c r="M275" s="113"/>
      <c r="N275" s="113"/>
      <c r="O275" s="113"/>
      <c r="P275" s="113"/>
      <c r="Q275" s="113"/>
      <c r="R275" s="113"/>
      <c r="S275" s="113"/>
    </row>
    <row r="276" spans="1:19" x14ac:dyDescent="0.25">
      <c r="A276" s="6" t="s">
        <v>16</v>
      </c>
      <c r="B276" s="61">
        <f t="shared" si="45"/>
        <v>21085354.281798925</v>
      </c>
      <c r="C276" s="68">
        <f t="shared" si="46"/>
        <v>6.5176438352105848E-2</v>
      </c>
      <c r="D276" s="107">
        <v>9645479.421798924</v>
      </c>
      <c r="E276" s="110">
        <v>688149.77</v>
      </c>
      <c r="F276" s="127">
        <v>3679202</v>
      </c>
      <c r="G276" s="91">
        <v>6740183</v>
      </c>
      <c r="H276" s="34">
        <v>165599.09</v>
      </c>
      <c r="I276" s="76"/>
      <c r="J276" s="76"/>
      <c r="K276" s="87"/>
      <c r="L276" s="124">
        <v>166741</v>
      </c>
      <c r="M276" s="113"/>
      <c r="N276" s="113"/>
      <c r="O276" s="113"/>
      <c r="P276" s="113"/>
      <c r="Q276" s="113"/>
      <c r="R276" s="113"/>
      <c r="S276" s="113"/>
    </row>
    <row r="277" spans="1:19" x14ac:dyDescent="0.25">
      <c r="A277" s="6" t="s">
        <v>5</v>
      </c>
      <c r="B277" s="61">
        <f t="shared" si="45"/>
        <v>14043603.050000001</v>
      </c>
      <c r="C277" s="68">
        <f t="shared" si="46"/>
        <v>-3.0281395110672734E-2</v>
      </c>
      <c r="D277" s="107">
        <v>7387879</v>
      </c>
      <c r="E277" s="110">
        <v>1770025.39</v>
      </c>
      <c r="F277" s="127">
        <v>1135280</v>
      </c>
      <c r="G277" s="91">
        <v>3622633.5</v>
      </c>
      <c r="H277" s="34">
        <v>82785.16</v>
      </c>
      <c r="I277" s="76"/>
      <c r="J277" s="76"/>
      <c r="K277" s="87"/>
      <c r="L277" s="124">
        <v>45000</v>
      </c>
      <c r="M277" s="113"/>
      <c r="N277" s="113"/>
      <c r="O277" s="113"/>
      <c r="P277" s="113"/>
      <c r="Q277" s="113"/>
      <c r="R277" s="113"/>
      <c r="S277" s="113"/>
    </row>
    <row r="278" spans="1:19" x14ac:dyDescent="0.25">
      <c r="A278" s="6" t="s">
        <v>17</v>
      </c>
      <c r="B278" s="61">
        <f t="shared" si="45"/>
        <v>4740659.7093068752</v>
      </c>
      <c r="C278" s="68">
        <f t="shared" si="46"/>
        <v>-6.5169780775999372E-2</v>
      </c>
      <c r="D278" s="107">
        <v>1294091.9293068748</v>
      </c>
      <c r="E278" s="110">
        <v>511202.12</v>
      </c>
      <c r="F278" s="127">
        <v>2900030</v>
      </c>
      <c r="G278" s="91">
        <v>-7582.97</v>
      </c>
      <c r="H278" s="34">
        <v>42918.63</v>
      </c>
      <c r="I278" s="76"/>
      <c r="J278" s="76"/>
      <c r="K278" s="79"/>
      <c r="L278" s="98"/>
      <c r="M278" s="113"/>
      <c r="N278" s="113"/>
      <c r="O278" s="113"/>
      <c r="P278" s="113"/>
      <c r="Q278" s="113"/>
      <c r="R278" s="113"/>
      <c r="S278" s="113"/>
    </row>
    <row r="279" spans="1:19" x14ac:dyDescent="0.25">
      <c r="A279" s="6" t="s">
        <v>18</v>
      </c>
      <c r="B279" s="66">
        <f t="shared" si="45"/>
        <v>-18135721.63858052</v>
      </c>
      <c r="C279" s="68">
        <f t="shared" si="46"/>
        <v>-4.1230376847413416E-2</v>
      </c>
      <c r="D279" s="107">
        <v>-6796591.4400000004</v>
      </c>
      <c r="E279" s="110">
        <v>-1224369.24</v>
      </c>
      <c r="F279" s="127">
        <v>-4104414</v>
      </c>
      <c r="G279" s="91">
        <v>-5897624.7199999997</v>
      </c>
      <c r="H279" s="34">
        <v>-73857.95</v>
      </c>
      <c r="I279" s="76"/>
      <c r="J279" s="76"/>
      <c r="K279" s="82"/>
      <c r="L279" s="124">
        <v>-38864.288580522116</v>
      </c>
      <c r="M279" s="113"/>
      <c r="N279" s="113"/>
      <c r="O279" s="113"/>
      <c r="P279" s="113"/>
      <c r="Q279" s="113"/>
      <c r="R279" s="113"/>
      <c r="S279" s="113"/>
    </row>
    <row r="280" spans="1:19" ht="14.4" x14ac:dyDescent="0.3">
      <c r="A280" s="6"/>
      <c r="B280" s="86"/>
      <c r="C280" s="68"/>
      <c r="D280" s="108"/>
      <c r="E280" s="5"/>
      <c r="F280" s="37"/>
      <c r="G280" s="5"/>
      <c r="H280" s="37"/>
      <c r="I280" s="76"/>
      <c r="J280" s="76"/>
      <c r="K280" s="79"/>
      <c r="L280" s="45"/>
      <c r="M280" s="113"/>
      <c r="N280" s="113"/>
      <c r="O280" s="113"/>
      <c r="P280" s="113"/>
      <c r="Q280" s="113"/>
      <c r="R280" s="113"/>
      <c r="S280" s="113"/>
    </row>
    <row r="281" spans="1:19" ht="14.4" x14ac:dyDescent="0.3">
      <c r="A281" s="67" t="s">
        <v>19</v>
      </c>
      <c r="B281" s="84">
        <f>B274/B265</f>
        <v>3.8314876691180652E-2</v>
      </c>
      <c r="C281" s="68">
        <f>+(B281-B255)/B255</f>
        <v>-1.0000000020255682</v>
      </c>
      <c r="D281" s="109">
        <f t="shared" ref="D281" si="48">D274/D265</f>
        <v>3.9082821069798802E-2</v>
      </c>
      <c r="E281" s="119">
        <f>E274/E265</f>
        <v>4.7055215581302906E-2</v>
      </c>
      <c r="F281" s="69">
        <f>F274/F265</f>
        <v>4.0846017523996865E-2</v>
      </c>
      <c r="G281" s="69">
        <f>G274/G265</f>
        <v>3.1366539818468354E-2</v>
      </c>
      <c r="H281" s="69">
        <f>H274/H265</f>
        <v>4.050336976143179E-2</v>
      </c>
      <c r="I281" s="83"/>
      <c r="J281" s="83"/>
      <c r="K281" s="83"/>
      <c r="L281" s="120">
        <f>L274/L265</f>
        <v>2.7720042890398314E-2</v>
      </c>
      <c r="M281" s="113"/>
      <c r="N281" s="113"/>
      <c r="O281" s="113"/>
      <c r="P281" s="113"/>
      <c r="Q281" s="113"/>
      <c r="R281" s="113"/>
      <c r="S281" s="113"/>
    </row>
    <row r="282" spans="1:19" ht="14.4" x14ac:dyDescent="0.3">
      <c r="A282" s="6"/>
      <c r="B282" s="86"/>
      <c r="C282" s="7"/>
      <c r="D282" s="106"/>
      <c r="E282" s="5"/>
      <c r="F282" s="37"/>
      <c r="G282" s="5"/>
      <c r="H282" s="37"/>
      <c r="I282" s="76"/>
      <c r="J282" s="76"/>
      <c r="K282" s="79"/>
      <c r="L282" s="45"/>
      <c r="M282" s="113"/>
      <c r="N282" s="113"/>
      <c r="O282" s="113"/>
      <c r="P282" s="113"/>
      <c r="Q282" s="113"/>
      <c r="R282" s="113"/>
      <c r="S282" s="113"/>
    </row>
    <row r="283" spans="1:19" ht="14.4" x14ac:dyDescent="0.3">
      <c r="A283" s="6"/>
      <c r="B283" s="86"/>
      <c r="C283" s="7"/>
      <c r="D283" s="106"/>
      <c r="E283" s="17"/>
      <c r="F283" s="37"/>
      <c r="G283" s="5"/>
      <c r="H283" s="37"/>
      <c r="I283" s="76"/>
      <c r="J283" s="76"/>
      <c r="K283" s="79"/>
      <c r="L283" s="45"/>
      <c r="M283" s="113"/>
      <c r="N283" s="113"/>
      <c r="O283" s="113"/>
      <c r="P283" s="113"/>
      <c r="Q283" s="113"/>
      <c r="R283" s="113"/>
      <c r="S283" s="113"/>
    </row>
    <row r="284" spans="1:19" ht="14.4" x14ac:dyDescent="0.3">
      <c r="A284" s="65" t="s">
        <v>20</v>
      </c>
      <c r="B284" s="61">
        <f>SUM(D284:L284)</f>
        <v>14043603.050000001</v>
      </c>
      <c r="C284" s="68">
        <f>+(B284-B261)/B261</f>
        <v>-3.0281395110672734E-2</v>
      </c>
      <c r="D284" s="105">
        <f>+D277</f>
        <v>7387879</v>
      </c>
      <c r="E284" s="61">
        <f t="shared" ref="E284:L284" si="49">+E277</f>
        <v>1770025.39</v>
      </c>
      <c r="F284" s="61">
        <f t="shared" si="49"/>
        <v>1135280</v>
      </c>
      <c r="G284" s="61">
        <f t="shared" si="49"/>
        <v>3622633.5</v>
      </c>
      <c r="H284" s="61">
        <f t="shared" si="49"/>
        <v>82785.16</v>
      </c>
      <c r="I284" s="77">
        <f t="shared" si="49"/>
        <v>0</v>
      </c>
      <c r="J284" s="77">
        <f t="shared" si="49"/>
        <v>0</v>
      </c>
      <c r="K284" s="77">
        <f t="shared" si="49"/>
        <v>0</v>
      </c>
      <c r="L284" s="61">
        <f t="shared" si="49"/>
        <v>45000</v>
      </c>
      <c r="M284" s="113"/>
      <c r="N284" s="113"/>
      <c r="O284" s="113"/>
      <c r="P284" s="113"/>
      <c r="Q284" s="113"/>
      <c r="R284" s="113"/>
      <c r="S284" s="113"/>
    </row>
    <row r="285" spans="1:19" s="113" customFormat="1" ht="14.4" x14ac:dyDescent="0.3">
      <c r="A285" s="128"/>
      <c r="B285" s="86"/>
      <c r="C285" s="103"/>
      <c r="D285" s="106"/>
      <c r="E285" s="86"/>
      <c r="F285" s="37"/>
      <c r="G285" s="86"/>
      <c r="H285" s="37"/>
      <c r="I285" s="129"/>
      <c r="J285" s="79"/>
      <c r="K285" s="79"/>
      <c r="L285" s="37"/>
    </row>
    <row r="287" spans="1:19" s="113" customFormat="1" x14ac:dyDescent="0.25">
      <c r="A287" s="22" t="s">
        <v>50</v>
      </c>
      <c r="B287" s="23"/>
      <c r="C287" s="23" t="s">
        <v>47</v>
      </c>
      <c r="D287" s="33"/>
      <c r="E287" s="23"/>
      <c r="F287" s="33"/>
      <c r="G287" s="23"/>
      <c r="H287" s="33"/>
      <c r="I287" s="23"/>
      <c r="J287" s="33"/>
      <c r="K287" s="33"/>
      <c r="L287" s="53"/>
    </row>
    <row r="288" spans="1:19" s="113" customFormat="1" x14ac:dyDescent="0.25">
      <c r="A288" s="20"/>
      <c r="B288" s="21" t="s">
        <v>14</v>
      </c>
      <c r="C288" s="21"/>
      <c r="D288" s="64" t="s">
        <v>45</v>
      </c>
      <c r="E288" s="75" t="s">
        <v>42</v>
      </c>
      <c r="F288" s="64" t="s">
        <v>8</v>
      </c>
      <c r="G288" s="75" t="s">
        <v>48</v>
      </c>
      <c r="H288" s="134" t="s">
        <v>62</v>
      </c>
      <c r="I288" s="75" t="s">
        <v>11</v>
      </c>
      <c r="J288" s="64" t="s">
        <v>12</v>
      </c>
      <c r="K288" s="64" t="s">
        <v>13</v>
      </c>
      <c r="L288" s="64" t="s">
        <v>49</v>
      </c>
    </row>
    <row r="289" spans="1:13" s="113" customFormat="1" ht="14.4" x14ac:dyDescent="0.3">
      <c r="A289" s="65" t="s">
        <v>0</v>
      </c>
      <c r="B289" s="61">
        <v>1413177073</v>
      </c>
      <c r="C289" s="68">
        <f>(B289-B265)/B265</f>
        <v>1.8216996395655206E-2</v>
      </c>
      <c r="D289" s="105">
        <v>657812479</v>
      </c>
      <c r="E289" s="111">
        <v>139563788</v>
      </c>
      <c r="F289" s="61">
        <v>260089257</v>
      </c>
      <c r="G289" s="61">
        <v>319753130</v>
      </c>
      <c r="H289" s="111">
        <v>21668380</v>
      </c>
      <c r="I289" s="77">
        <v>0</v>
      </c>
      <c r="J289" s="77">
        <v>0</v>
      </c>
      <c r="K289" s="77">
        <v>0</v>
      </c>
      <c r="L289" s="61">
        <v>14290039</v>
      </c>
    </row>
    <row r="290" spans="1:13" x14ac:dyDescent="0.25">
      <c r="A290" s="113" t="s">
        <v>1</v>
      </c>
      <c r="B290" s="114">
        <v>640376912</v>
      </c>
      <c r="C290" s="68">
        <f>(B290-B266)/B266</f>
        <v>3.2421632559688975E-2</v>
      </c>
      <c r="D290" s="114">
        <v>304229529</v>
      </c>
      <c r="E290" s="29">
        <v>60514717</v>
      </c>
      <c r="F290" s="114">
        <v>104943951</v>
      </c>
      <c r="G290" s="29">
        <v>154109741</v>
      </c>
      <c r="H290" s="114">
        <v>10383696</v>
      </c>
      <c r="I290" s="29"/>
      <c r="J290" s="114"/>
      <c r="L290" s="29">
        <v>6195279</v>
      </c>
      <c r="M290" s="113"/>
    </row>
    <row r="291" spans="1:13" x14ac:dyDescent="0.25">
      <c r="A291" s="113" t="s">
        <v>2</v>
      </c>
      <c r="B291" s="114">
        <v>437158212</v>
      </c>
      <c r="C291" s="68">
        <f t="shared" ref="C291:C303" si="50">(B291-B267)/B267</f>
        <v>1.3294400652125928E-2</v>
      </c>
      <c r="D291" s="114">
        <v>202301736</v>
      </c>
      <c r="E291" s="29">
        <v>41667198</v>
      </c>
      <c r="F291" s="114">
        <v>86858326</v>
      </c>
      <c r="G291" s="29">
        <v>95184368</v>
      </c>
      <c r="H291" s="114">
        <v>6443124</v>
      </c>
      <c r="I291" s="29"/>
      <c r="J291" s="114"/>
      <c r="L291" s="29">
        <v>4703460</v>
      </c>
      <c r="M291" s="113"/>
    </row>
    <row r="292" spans="1:13" x14ac:dyDescent="0.25">
      <c r="A292" s="113" t="s">
        <v>27</v>
      </c>
      <c r="B292" s="114">
        <v>419911607</v>
      </c>
      <c r="C292" s="68">
        <f t="shared" si="50"/>
        <v>1.0528267769960603E-2</v>
      </c>
      <c r="D292" s="114">
        <v>193195941</v>
      </c>
      <c r="E292" s="29">
        <v>41361304</v>
      </c>
      <c r="F292" s="114">
        <v>84381377</v>
      </c>
      <c r="G292" s="29">
        <v>90011215</v>
      </c>
      <c r="H292" s="114">
        <v>6289292</v>
      </c>
      <c r="I292" s="29"/>
      <c r="J292" s="114"/>
      <c r="L292" s="29">
        <v>4672478</v>
      </c>
      <c r="M292" s="113"/>
    </row>
    <row r="293" spans="1:13" x14ac:dyDescent="0.25">
      <c r="A293" s="113" t="s">
        <v>28</v>
      </c>
      <c r="B293" s="114">
        <v>17246606</v>
      </c>
      <c r="C293" s="68">
        <f t="shared" si="50"/>
        <v>8.5649421767025516E-2</v>
      </c>
      <c r="D293" s="114">
        <v>9105795</v>
      </c>
      <c r="E293" s="29">
        <v>305894</v>
      </c>
      <c r="F293" s="114">
        <v>2476949</v>
      </c>
      <c r="G293" s="29">
        <v>5173154</v>
      </c>
      <c r="H293" s="114">
        <v>153832</v>
      </c>
      <c r="I293" s="29"/>
      <c r="J293" s="114"/>
      <c r="L293" s="29">
        <v>30982</v>
      </c>
      <c r="M293" s="113"/>
    </row>
    <row r="294" spans="1:13" x14ac:dyDescent="0.25">
      <c r="A294" s="113" t="s">
        <v>32</v>
      </c>
      <c r="B294" s="114">
        <v>335641948</v>
      </c>
      <c r="C294" s="68">
        <f t="shared" si="50"/>
        <v>-1.6725382534872974E-3</v>
      </c>
      <c r="D294" s="114">
        <v>151281214</v>
      </c>
      <c r="E294" s="29">
        <v>37381873</v>
      </c>
      <c r="F294" s="114">
        <v>68286980</v>
      </c>
      <c r="G294" s="29">
        <v>70459021</v>
      </c>
      <c r="H294" s="114">
        <v>4841560</v>
      </c>
      <c r="I294" s="29"/>
      <c r="J294" s="114"/>
      <c r="L294" s="29">
        <v>3391300</v>
      </c>
      <c r="M294" s="113"/>
    </row>
    <row r="295" spans="1:13" x14ac:dyDescent="0.25">
      <c r="A295" s="113" t="s">
        <v>33</v>
      </c>
      <c r="B295" s="114">
        <v>324287368</v>
      </c>
      <c r="C295" s="68">
        <f t="shared" si="50"/>
        <v>2.737928485674777E-3</v>
      </c>
      <c r="D295" s="114">
        <v>146627971</v>
      </c>
      <c r="E295" s="29">
        <v>36846710</v>
      </c>
      <c r="F295" s="114">
        <v>66221753</v>
      </c>
      <c r="G295" s="29">
        <v>66462011</v>
      </c>
      <c r="H295" s="114">
        <v>4765160</v>
      </c>
      <c r="I295" s="29"/>
      <c r="J295" s="114"/>
      <c r="L295" s="29">
        <v>3363763</v>
      </c>
      <c r="M295" s="113"/>
    </row>
    <row r="296" spans="1:13" x14ac:dyDescent="0.25">
      <c r="A296" s="113" t="s">
        <v>34</v>
      </c>
      <c r="B296" s="114">
        <v>11354580</v>
      </c>
      <c r="C296" s="68">
        <f t="shared" si="50"/>
        <v>-0.1130860046779333</v>
      </c>
      <c r="D296" s="114">
        <v>4653243</v>
      </c>
      <c r="E296" s="29">
        <v>535163</v>
      </c>
      <c r="F296" s="114">
        <v>2065227</v>
      </c>
      <c r="G296" s="29">
        <v>3997010</v>
      </c>
      <c r="H296" s="114">
        <v>76400</v>
      </c>
      <c r="I296" s="29"/>
      <c r="J296" s="114"/>
      <c r="L296" s="29">
        <v>27537</v>
      </c>
      <c r="M296" s="113"/>
    </row>
    <row r="297" spans="1:13" x14ac:dyDescent="0.25">
      <c r="A297" s="113"/>
      <c r="B297" s="114"/>
      <c r="C297" s="68"/>
      <c r="D297" s="114"/>
      <c r="E297" s="29"/>
      <c r="F297" s="114"/>
      <c r="G297" s="29"/>
      <c r="H297" s="114"/>
      <c r="I297" s="29"/>
      <c r="J297" s="114"/>
      <c r="L297" s="29"/>
      <c r="M297" s="113"/>
    </row>
    <row r="298" spans="1:13" s="113" customFormat="1" ht="14.4" x14ac:dyDescent="0.3">
      <c r="A298" s="65" t="s">
        <v>3</v>
      </c>
      <c r="B298" s="61">
        <v>55730873</v>
      </c>
      <c r="C298" s="68">
        <f t="shared" si="50"/>
        <v>4.8026280267493705E-2</v>
      </c>
      <c r="D298" s="105">
        <v>26272628</v>
      </c>
      <c r="E298" s="111">
        <v>6621561</v>
      </c>
      <c r="F298" s="61">
        <v>11599565</v>
      </c>
      <c r="G298" s="61">
        <v>10032753</v>
      </c>
      <c r="H298" s="111">
        <v>890532</v>
      </c>
      <c r="I298" s="61">
        <v>0</v>
      </c>
      <c r="J298" s="61">
        <v>0</v>
      </c>
      <c r="K298" s="61">
        <v>0</v>
      </c>
      <c r="L298" s="61">
        <v>313835</v>
      </c>
    </row>
    <row r="299" spans="1:13" x14ac:dyDescent="0.25">
      <c r="A299" s="113" t="s">
        <v>4</v>
      </c>
      <c r="B299" s="114">
        <v>30729524</v>
      </c>
      <c r="C299" s="68">
        <f t="shared" si="50"/>
        <v>-2.2693734748515798E-2</v>
      </c>
      <c r="D299" s="114">
        <v>13342575</v>
      </c>
      <c r="E299" s="29">
        <v>4115070</v>
      </c>
      <c r="F299" s="114">
        <v>6472127</v>
      </c>
      <c r="G299" s="29">
        <v>5972252</v>
      </c>
      <c r="H299" s="114">
        <v>643768</v>
      </c>
      <c r="I299" s="29"/>
      <c r="J299" s="114"/>
      <c r="L299" s="29">
        <v>183732</v>
      </c>
      <c r="M299" s="113"/>
    </row>
    <row r="300" spans="1:13" x14ac:dyDescent="0.25">
      <c r="A300" s="113" t="s">
        <v>16</v>
      </c>
      <c r="B300" s="114">
        <v>19900031</v>
      </c>
      <c r="C300" s="68">
        <f t="shared" si="50"/>
        <v>-5.6215478571403819E-2</v>
      </c>
      <c r="D300" s="114">
        <v>9164233</v>
      </c>
      <c r="E300" s="29">
        <v>736476</v>
      </c>
      <c r="F300" s="114">
        <v>3550001</v>
      </c>
      <c r="G300" s="29">
        <v>6098681</v>
      </c>
      <c r="H300" s="114">
        <v>208669</v>
      </c>
      <c r="I300" s="29"/>
      <c r="J300" s="114"/>
      <c r="L300" s="29">
        <v>141971</v>
      </c>
      <c r="M300" s="113"/>
    </row>
    <row r="301" spans="1:13" x14ac:dyDescent="0.25">
      <c r="A301" s="113" t="s">
        <v>5</v>
      </c>
      <c r="B301" s="114">
        <v>14094229</v>
      </c>
      <c r="C301" s="68">
        <f t="shared" si="50"/>
        <v>3.6049117751159486E-3</v>
      </c>
      <c r="D301" s="114">
        <v>6990471</v>
      </c>
      <c r="E301" s="29">
        <v>2016288</v>
      </c>
      <c r="F301" s="114">
        <v>1705428</v>
      </c>
      <c r="G301" s="29">
        <v>3280284</v>
      </c>
      <c r="H301" s="114">
        <v>79640</v>
      </c>
      <c r="I301" s="29"/>
      <c r="J301" s="114"/>
      <c r="L301" s="29">
        <v>22118</v>
      </c>
      <c r="M301" s="113"/>
    </row>
    <row r="302" spans="1:13" x14ac:dyDescent="0.25">
      <c r="A302" s="113" t="s">
        <v>17</v>
      </c>
      <c r="B302" s="114">
        <v>5361274</v>
      </c>
      <c r="C302" s="68">
        <f t="shared" si="50"/>
        <v>0.13091306458355009</v>
      </c>
      <c r="D302" s="114">
        <v>1622531</v>
      </c>
      <c r="E302" s="29">
        <v>511202</v>
      </c>
      <c r="F302" s="114">
        <v>3185910</v>
      </c>
      <c r="G302" s="29">
        <v>-14521</v>
      </c>
      <c r="H302" s="114">
        <v>56152</v>
      </c>
      <c r="I302" s="29"/>
      <c r="J302" s="114"/>
      <c r="L302" s="29"/>
      <c r="M302" s="113"/>
    </row>
    <row r="303" spans="1:13" x14ac:dyDescent="0.25">
      <c r="A303" s="113" t="s">
        <v>18</v>
      </c>
      <c r="B303" s="114">
        <v>-14354184</v>
      </c>
      <c r="C303" s="68">
        <f t="shared" si="50"/>
        <v>-0.20851321573749629</v>
      </c>
      <c r="D303" s="114">
        <v>-4847182</v>
      </c>
      <c r="E303" s="29">
        <v>-757475</v>
      </c>
      <c r="F303" s="114">
        <v>-3313901</v>
      </c>
      <c r="G303" s="29">
        <v>-5303943</v>
      </c>
      <c r="H303" s="114">
        <v>-97697</v>
      </c>
      <c r="I303" s="29"/>
      <c r="J303" s="114"/>
      <c r="L303" s="29">
        <v>-33986</v>
      </c>
      <c r="M303" s="113"/>
    </row>
    <row r="304" spans="1:13" x14ac:dyDescent="0.25">
      <c r="A304" s="113"/>
      <c r="B304" s="114"/>
      <c r="C304" s="68"/>
      <c r="D304" s="114"/>
      <c r="E304" s="29"/>
      <c r="F304" s="114"/>
      <c r="G304" s="29"/>
      <c r="H304" s="114"/>
      <c r="I304" s="29"/>
      <c r="J304" s="114"/>
      <c r="L304" s="29"/>
      <c r="M304" s="113"/>
    </row>
    <row r="305" spans="1:13" s="113" customFormat="1" ht="14.4" x14ac:dyDescent="0.3">
      <c r="A305" s="67" t="s">
        <v>19</v>
      </c>
      <c r="B305" s="84">
        <v>3.9399999999999998E-2</v>
      </c>
      <c r="C305" s="68">
        <f>(B305-B281)/B281</f>
        <v>2.8321200602196377E-2</v>
      </c>
      <c r="D305" s="109">
        <v>3.9899999999999998E-2</v>
      </c>
      <c r="E305" s="119">
        <v>4.7399999999999998E-2</v>
      </c>
      <c r="F305" s="69">
        <v>4.4600000000000001E-2</v>
      </c>
      <c r="G305" s="69">
        <v>3.1399999999999997E-2</v>
      </c>
      <c r="H305" s="69">
        <v>4.1099999999999998E-2</v>
      </c>
      <c r="I305" s="83"/>
      <c r="J305" s="83"/>
      <c r="K305" s="83"/>
      <c r="L305" s="120">
        <v>2.1999999999999999E-2</v>
      </c>
    </row>
    <row r="306" spans="1:13" x14ac:dyDescent="0.25">
      <c r="A306" s="113"/>
      <c r="B306" s="114"/>
      <c r="C306" s="7"/>
      <c r="D306" s="114"/>
      <c r="E306" s="29"/>
      <c r="F306" s="114"/>
      <c r="G306" s="29"/>
      <c r="H306" s="114"/>
      <c r="I306" s="29"/>
      <c r="J306" s="114"/>
      <c r="L306" s="29"/>
      <c r="M306" s="113"/>
    </row>
    <row r="307" spans="1:13" x14ac:dyDescent="0.25">
      <c r="A307" s="113"/>
      <c r="B307" s="114"/>
      <c r="C307" s="7"/>
      <c r="D307" s="114"/>
      <c r="E307" s="29"/>
      <c r="F307" s="114"/>
      <c r="G307" s="29"/>
      <c r="H307" s="114"/>
      <c r="I307" s="29"/>
      <c r="J307" s="114"/>
      <c r="L307" s="29"/>
      <c r="M307" s="113"/>
    </row>
    <row r="308" spans="1:13" s="113" customFormat="1" ht="14.4" x14ac:dyDescent="0.3">
      <c r="A308" s="65" t="s">
        <v>20</v>
      </c>
      <c r="B308" s="61">
        <v>14094229</v>
      </c>
      <c r="C308" s="68">
        <f>+(B308-B284)/B284</f>
        <v>3.6049117751159486E-3</v>
      </c>
      <c r="D308" s="105">
        <v>6990471</v>
      </c>
      <c r="E308" s="61">
        <v>2016288</v>
      </c>
      <c r="F308" s="61">
        <v>1705428</v>
      </c>
      <c r="G308" s="61">
        <v>3280284</v>
      </c>
      <c r="H308" s="61">
        <v>79640</v>
      </c>
      <c r="I308" s="77">
        <v>0</v>
      </c>
      <c r="J308" s="77">
        <v>0</v>
      </c>
      <c r="K308" s="77">
        <v>0</v>
      </c>
      <c r="L308" s="61">
        <v>22118</v>
      </c>
    </row>
    <row r="309" spans="1:13" x14ac:dyDescent="0.25">
      <c r="A309" s="113"/>
      <c r="B309" s="114"/>
      <c r="C309" s="103"/>
      <c r="E309" s="114"/>
      <c r="G309" s="114"/>
      <c r="I309" s="114"/>
      <c r="M309" s="113"/>
    </row>
    <row r="310" spans="1:13" x14ac:dyDescent="0.25">
      <c r="A310" s="113"/>
      <c r="B310" s="114"/>
      <c r="C310" s="114"/>
      <c r="E310" s="114"/>
      <c r="G310" s="114"/>
      <c r="I310" s="114"/>
      <c r="M310" s="113"/>
    </row>
    <row r="311" spans="1:13" x14ac:dyDescent="0.25">
      <c r="A311" s="113"/>
      <c r="B311" s="114"/>
      <c r="C311" s="114"/>
      <c r="E311" s="114"/>
      <c r="G311" s="114"/>
      <c r="I311" s="114"/>
      <c r="M311" s="113"/>
    </row>
    <row r="312" spans="1:13" x14ac:dyDescent="0.25">
      <c r="A312" s="113"/>
      <c r="B312" s="114"/>
      <c r="C312" s="114"/>
      <c r="E312" s="114"/>
      <c r="G312" s="114"/>
      <c r="I312" s="114"/>
      <c r="M312" s="113"/>
    </row>
    <row r="313" spans="1:13" x14ac:dyDescent="0.25">
      <c r="A313" s="113"/>
      <c r="B313" s="114"/>
      <c r="C313" s="114"/>
      <c r="E313" s="114"/>
      <c r="G313" s="114"/>
      <c r="I313" s="114"/>
      <c r="M313" s="113"/>
    </row>
    <row r="314" spans="1:13" x14ac:dyDescent="0.25">
      <c r="A314" s="113"/>
      <c r="B314" s="114"/>
      <c r="C314" s="114"/>
      <c r="E314" s="114"/>
      <c r="G314" s="114"/>
      <c r="I314" s="114"/>
      <c r="M314" s="113"/>
    </row>
    <row r="315" spans="1:13" x14ac:dyDescent="0.25">
      <c r="A315" s="113"/>
      <c r="B315" s="114"/>
      <c r="C315" s="114"/>
      <c r="E315" s="114"/>
      <c r="G315" s="114"/>
      <c r="I315" s="114"/>
      <c r="M315" s="113"/>
    </row>
    <row r="316" spans="1:13" x14ac:dyDescent="0.25">
      <c r="A316" s="113"/>
      <c r="B316" s="114"/>
      <c r="C316" s="114"/>
      <c r="E316" s="114"/>
      <c r="G316" s="114"/>
      <c r="I316" s="114"/>
      <c r="M316" s="113"/>
    </row>
    <row r="317" spans="1:13" x14ac:dyDescent="0.25">
      <c r="A317" s="113"/>
      <c r="B317" s="114"/>
      <c r="C317" s="114"/>
      <c r="E317" s="114"/>
      <c r="G317" s="114"/>
      <c r="I317" s="114"/>
      <c r="M317" s="113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4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BE3A-0334-4684-A307-D2525E835B51}">
  <dimension ref="B3:B11"/>
  <sheetViews>
    <sheetView workbookViewId="0">
      <selection activeCell="B12" sqref="B12"/>
    </sheetView>
  </sheetViews>
  <sheetFormatPr defaultRowHeight="13.2" x14ac:dyDescent="0.25"/>
  <sheetData>
    <row r="3" spans="2:2" x14ac:dyDescent="0.25">
      <c r="B3" t="s">
        <v>45</v>
      </c>
    </row>
    <row r="4" spans="2:2" x14ac:dyDescent="0.25">
      <c r="B4" t="s">
        <v>42</v>
      </c>
    </row>
    <row r="5" spans="2:2" x14ac:dyDescent="0.25">
      <c r="B5" t="s">
        <v>61</v>
      </c>
    </row>
    <row r="6" spans="2:2" x14ac:dyDescent="0.25">
      <c r="B6" t="s">
        <v>48</v>
      </c>
    </row>
    <row r="7" spans="2:2" x14ac:dyDescent="0.25">
      <c r="B7" t="s">
        <v>62</v>
      </c>
    </row>
    <row r="8" spans="2:2" s="113" customFormat="1" x14ac:dyDescent="0.25">
      <c r="B8" s="113" t="s">
        <v>49</v>
      </c>
    </row>
    <row r="9" spans="2:2" x14ac:dyDescent="0.25">
      <c r="B9" t="s">
        <v>14</v>
      </c>
    </row>
    <row r="11" spans="2:2" x14ac:dyDescent="0.25">
      <c r="B11" t="s">
        <v>94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CEAB-609C-4C35-8663-1711B6548E0B}">
  <dimension ref="A1:U30"/>
  <sheetViews>
    <sheetView zoomScale="70" zoomScaleNormal="70" workbookViewId="0"/>
  </sheetViews>
  <sheetFormatPr defaultColWidth="32" defaultRowHeight="13.2" x14ac:dyDescent="0.25"/>
  <cols>
    <col min="1" max="1" width="31.6640625" style="320" customWidth="1"/>
    <col min="2" max="2" width="30.6640625" style="320" customWidth="1"/>
    <col min="3" max="3" width="11.88671875" style="113" customWidth="1"/>
    <col min="4" max="20" width="20.6640625" style="113" customWidth="1"/>
    <col min="21" max="16384" width="32" style="113"/>
  </cols>
  <sheetData>
    <row r="1" spans="1:21" s="308" customFormat="1" ht="102.6" customHeight="1" x14ac:dyDescent="0.25">
      <c r="D1" s="308" t="s">
        <v>115</v>
      </c>
      <c r="E1" s="308" t="s">
        <v>116</v>
      </c>
      <c r="F1" s="308" t="s">
        <v>117</v>
      </c>
      <c r="G1" s="308" t="s">
        <v>118</v>
      </c>
      <c r="H1" s="308" t="s">
        <v>119</v>
      </c>
      <c r="I1" s="308" t="s">
        <v>120</v>
      </c>
      <c r="J1" s="308" t="s">
        <v>121</v>
      </c>
      <c r="K1" s="308" t="s">
        <v>122</v>
      </c>
      <c r="L1" s="308" t="s">
        <v>123</v>
      </c>
      <c r="M1" s="308" t="s">
        <v>124</v>
      </c>
      <c r="N1" s="308" t="s">
        <v>125</v>
      </c>
      <c r="O1" s="308" t="s">
        <v>126</v>
      </c>
      <c r="P1" s="308" t="s">
        <v>127</v>
      </c>
      <c r="Q1" s="308" t="s">
        <v>128</v>
      </c>
      <c r="R1" s="308" t="s">
        <v>129</v>
      </c>
      <c r="S1" s="308" t="s">
        <v>130</v>
      </c>
      <c r="T1" s="308" t="s">
        <v>131</v>
      </c>
      <c r="U1" s="308" t="s">
        <v>132</v>
      </c>
    </row>
    <row r="2" spans="1:21" ht="13.8" x14ac:dyDescent="0.3">
      <c r="A2" s="349" t="s">
        <v>133</v>
      </c>
      <c r="B2" s="308" t="s">
        <v>134</v>
      </c>
      <c r="C2" s="309" t="s">
        <v>135</v>
      </c>
      <c r="D2" s="309"/>
      <c r="E2" s="309"/>
      <c r="F2" s="309"/>
      <c r="G2" s="309"/>
      <c r="H2" s="309"/>
      <c r="I2" s="309"/>
      <c r="J2" s="309"/>
      <c r="K2" s="309"/>
      <c r="L2" s="309"/>
      <c r="M2" s="309">
        <v>3</v>
      </c>
      <c r="N2" s="309"/>
      <c r="O2" s="309"/>
      <c r="P2" s="309"/>
      <c r="Q2" s="309"/>
      <c r="R2" s="309"/>
      <c r="S2" s="310"/>
      <c r="T2" s="309"/>
      <c r="U2" s="309"/>
    </row>
    <row r="3" spans="1:21" ht="13.8" x14ac:dyDescent="0.3">
      <c r="A3" s="350"/>
      <c r="B3" s="308" t="s">
        <v>136</v>
      </c>
      <c r="C3" s="309" t="s">
        <v>137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  <c r="T3" s="309"/>
      <c r="U3" s="309"/>
    </row>
    <row r="4" spans="1:21" ht="13.8" x14ac:dyDescent="0.3">
      <c r="A4" s="351"/>
      <c r="B4" s="311" t="s">
        <v>138</v>
      </c>
      <c r="C4" s="312" t="s">
        <v>139</v>
      </c>
      <c r="D4" s="312">
        <f>D2*D3</f>
        <v>0</v>
      </c>
      <c r="E4" s="312">
        <f t="shared" ref="E4:U4" si="0">E2*E3</f>
        <v>0</v>
      </c>
      <c r="F4" s="312">
        <f t="shared" si="0"/>
        <v>0</v>
      </c>
      <c r="G4" s="312">
        <f t="shared" si="0"/>
        <v>0</v>
      </c>
      <c r="H4" s="312">
        <f t="shared" si="0"/>
        <v>0</v>
      </c>
      <c r="I4" s="312">
        <f t="shared" si="0"/>
        <v>0</v>
      </c>
      <c r="J4" s="312">
        <f t="shared" si="0"/>
        <v>0</v>
      </c>
      <c r="K4" s="312">
        <f t="shared" si="0"/>
        <v>0</v>
      </c>
      <c r="L4" s="312">
        <f t="shared" si="0"/>
        <v>0</v>
      </c>
      <c r="M4" s="312">
        <f t="shared" si="0"/>
        <v>0</v>
      </c>
      <c r="N4" s="312">
        <f t="shared" si="0"/>
        <v>0</v>
      </c>
      <c r="O4" s="312">
        <f t="shared" si="0"/>
        <v>0</v>
      </c>
      <c r="P4" s="312">
        <f t="shared" si="0"/>
        <v>0</v>
      </c>
      <c r="Q4" s="312">
        <f t="shared" si="0"/>
        <v>0</v>
      </c>
      <c r="R4" s="312">
        <f t="shared" si="0"/>
        <v>0</v>
      </c>
      <c r="S4" s="313">
        <f t="shared" si="0"/>
        <v>0</v>
      </c>
      <c r="T4" s="312">
        <f t="shared" si="0"/>
        <v>0</v>
      </c>
      <c r="U4" s="312">
        <f t="shared" si="0"/>
        <v>0</v>
      </c>
    </row>
    <row r="5" spans="1:21" ht="13.8" x14ac:dyDescent="0.3">
      <c r="A5" s="349" t="s">
        <v>140</v>
      </c>
      <c r="B5" s="308" t="s">
        <v>141</v>
      </c>
      <c r="C5" s="309" t="s">
        <v>142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10"/>
      <c r="T5" s="309"/>
      <c r="U5" s="309"/>
    </row>
    <row r="6" spans="1:21" ht="13.8" x14ac:dyDescent="0.3">
      <c r="A6" s="350"/>
      <c r="B6" s="308" t="s">
        <v>143</v>
      </c>
      <c r="C6" s="309" t="s">
        <v>144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10"/>
      <c r="T6" s="309"/>
      <c r="U6" s="309"/>
    </row>
    <row r="7" spans="1:21" ht="13.8" x14ac:dyDescent="0.3">
      <c r="A7" s="350"/>
      <c r="B7" s="308" t="s">
        <v>145</v>
      </c>
      <c r="C7" s="309" t="s">
        <v>146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0"/>
      <c r="T7" s="309"/>
      <c r="U7" s="309"/>
    </row>
    <row r="8" spans="1:21" ht="13.8" x14ac:dyDescent="0.3">
      <c r="A8" s="350"/>
      <c r="B8" s="308" t="s">
        <v>136</v>
      </c>
      <c r="C8" s="309" t="s">
        <v>147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10"/>
      <c r="T8" s="309"/>
      <c r="U8" s="309"/>
    </row>
    <row r="9" spans="1:21" ht="13.8" x14ac:dyDescent="0.3">
      <c r="A9" s="351"/>
      <c r="B9" s="311" t="s">
        <v>148</v>
      </c>
      <c r="C9" s="312" t="s">
        <v>149</v>
      </c>
      <c r="D9" s="312">
        <f>D5*D6+D7*D8</f>
        <v>0</v>
      </c>
      <c r="E9" s="312">
        <f t="shared" ref="E9:U9" si="1">E5*E6+E7*E8</f>
        <v>0</v>
      </c>
      <c r="F9" s="312">
        <f t="shared" si="1"/>
        <v>0</v>
      </c>
      <c r="G9" s="312">
        <f t="shared" si="1"/>
        <v>0</v>
      </c>
      <c r="H9" s="312">
        <f t="shared" si="1"/>
        <v>0</v>
      </c>
      <c r="I9" s="312">
        <f t="shared" si="1"/>
        <v>0</v>
      </c>
      <c r="J9" s="312">
        <f t="shared" si="1"/>
        <v>0</v>
      </c>
      <c r="K9" s="312">
        <f t="shared" si="1"/>
        <v>0</v>
      </c>
      <c r="L9" s="312">
        <f t="shared" si="1"/>
        <v>0</v>
      </c>
      <c r="M9" s="312">
        <f t="shared" si="1"/>
        <v>0</v>
      </c>
      <c r="N9" s="312">
        <f t="shared" si="1"/>
        <v>0</v>
      </c>
      <c r="O9" s="312">
        <f t="shared" si="1"/>
        <v>0</v>
      </c>
      <c r="P9" s="312">
        <f t="shared" si="1"/>
        <v>0</v>
      </c>
      <c r="Q9" s="312">
        <f t="shared" si="1"/>
        <v>0</v>
      </c>
      <c r="R9" s="312">
        <f t="shared" si="1"/>
        <v>0</v>
      </c>
      <c r="S9" s="313">
        <f t="shared" si="1"/>
        <v>0</v>
      </c>
      <c r="T9" s="312">
        <f t="shared" si="1"/>
        <v>0</v>
      </c>
      <c r="U9" s="312">
        <f t="shared" si="1"/>
        <v>0</v>
      </c>
    </row>
    <row r="10" spans="1:21" ht="27.6" x14ac:dyDescent="0.3">
      <c r="A10" s="347" t="s">
        <v>150</v>
      </c>
      <c r="B10" s="308" t="s">
        <v>151</v>
      </c>
      <c r="C10" s="309" t="s">
        <v>152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10"/>
      <c r="T10" s="309"/>
      <c r="U10" s="309"/>
    </row>
    <row r="11" spans="1:21" ht="27.6" x14ac:dyDescent="0.3">
      <c r="A11" s="352"/>
      <c r="B11" s="308" t="s">
        <v>153</v>
      </c>
      <c r="C11" s="309" t="s">
        <v>154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10"/>
      <c r="T11" s="309"/>
      <c r="U11" s="309"/>
    </row>
    <row r="12" spans="1:21" ht="13.8" x14ac:dyDescent="0.3">
      <c r="A12" s="352"/>
      <c r="B12" s="308" t="s">
        <v>155</v>
      </c>
      <c r="C12" s="309" t="s">
        <v>156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  <c r="T12" s="309"/>
      <c r="U12" s="309"/>
    </row>
    <row r="13" spans="1:21" ht="13.8" x14ac:dyDescent="0.3">
      <c r="A13" s="352"/>
      <c r="B13" s="308" t="s">
        <v>157</v>
      </c>
      <c r="C13" s="309" t="s">
        <v>158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10"/>
      <c r="T13" s="309"/>
      <c r="U13" s="309"/>
    </row>
    <row r="14" spans="1:21" ht="13.8" x14ac:dyDescent="0.3">
      <c r="A14" s="348"/>
      <c r="B14" s="311" t="s">
        <v>159</v>
      </c>
      <c r="C14" s="312" t="s">
        <v>160</v>
      </c>
      <c r="D14" s="312">
        <f>D10*D11+D12*D13</f>
        <v>0</v>
      </c>
      <c r="E14" s="312">
        <f t="shared" ref="E14:U14" si="2">E10*E11+E12*E13</f>
        <v>0</v>
      </c>
      <c r="F14" s="312">
        <f t="shared" si="2"/>
        <v>0</v>
      </c>
      <c r="G14" s="312">
        <f t="shared" si="2"/>
        <v>0</v>
      </c>
      <c r="H14" s="312">
        <f t="shared" si="2"/>
        <v>0</v>
      </c>
      <c r="I14" s="312">
        <f t="shared" si="2"/>
        <v>0</v>
      </c>
      <c r="J14" s="312">
        <f t="shared" si="2"/>
        <v>0</v>
      </c>
      <c r="K14" s="312">
        <f t="shared" si="2"/>
        <v>0</v>
      </c>
      <c r="L14" s="312">
        <f t="shared" si="2"/>
        <v>0</v>
      </c>
      <c r="M14" s="312">
        <f t="shared" si="2"/>
        <v>0</v>
      </c>
      <c r="N14" s="312">
        <f t="shared" si="2"/>
        <v>0</v>
      </c>
      <c r="O14" s="312">
        <f t="shared" si="2"/>
        <v>0</v>
      </c>
      <c r="P14" s="312">
        <f t="shared" si="2"/>
        <v>0</v>
      </c>
      <c r="Q14" s="312">
        <f t="shared" si="2"/>
        <v>0</v>
      </c>
      <c r="R14" s="312">
        <f t="shared" si="2"/>
        <v>0</v>
      </c>
      <c r="S14" s="313">
        <f t="shared" si="2"/>
        <v>0</v>
      </c>
      <c r="T14" s="312">
        <f t="shared" si="2"/>
        <v>0</v>
      </c>
      <c r="U14" s="312">
        <f t="shared" si="2"/>
        <v>0</v>
      </c>
    </row>
    <row r="15" spans="1:21" ht="13.8" x14ac:dyDescent="0.3">
      <c r="A15" s="314" t="s">
        <v>161</v>
      </c>
      <c r="B15" s="315" t="s">
        <v>162</v>
      </c>
      <c r="C15" s="309" t="s">
        <v>163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10"/>
      <c r="T15" s="309"/>
      <c r="U15" s="309"/>
    </row>
    <row r="16" spans="1:21" ht="13.8" x14ac:dyDescent="0.3">
      <c r="A16" s="349" t="s">
        <v>164</v>
      </c>
      <c r="B16" s="316" t="s">
        <v>165</v>
      </c>
      <c r="C16" s="309" t="s">
        <v>166</v>
      </c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10"/>
      <c r="T16" s="309"/>
      <c r="U16" s="309"/>
    </row>
    <row r="17" spans="1:21" ht="26.4" x14ac:dyDescent="0.25">
      <c r="A17" s="351"/>
      <c r="B17" s="317" t="s">
        <v>167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9"/>
      <c r="T17" s="318"/>
      <c r="U17" s="318"/>
    </row>
    <row r="18" spans="1:21" x14ac:dyDescent="0.25">
      <c r="S18" s="321"/>
    </row>
    <row r="19" spans="1:21" s="325" customFormat="1" ht="14.4" x14ac:dyDescent="0.3">
      <c r="A19" s="322"/>
      <c r="B19" s="311" t="s">
        <v>168</v>
      </c>
      <c r="C19" s="323" t="s">
        <v>169</v>
      </c>
      <c r="D19" s="323">
        <f t="shared" ref="D19:U19" si="3">D4+D9+D14+D15+D16</f>
        <v>0</v>
      </c>
      <c r="E19" s="323">
        <f t="shared" si="3"/>
        <v>0</v>
      </c>
      <c r="F19" s="323">
        <f t="shared" si="3"/>
        <v>0</v>
      </c>
      <c r="G19" s="323">
        <f t="shared" si="3"/>
        <v>0</v>
      </c>
      <c r="H19" s="323">
        <f t="shared" si="3"/>
        <v>0</v>
      </c>
      <c r="I19" s="323">
        <f t="shared" si="3"/>
        <v>0</v>
      </c>
      <c r="J19" s="323">
        <f t="shared" si="3"/>
        <v>0</v>
      </c>
      <c r="K19" s="323">
        <f t="shared" si="3"/>
        <v>0</v>
      </c>
      <c r="L19" s="323">
        <f t="shared" si="3"/>
        <v>0</v>
      </c>
      <c r="M19" s="323">
        <f t="shared" si="3"/>
        <v>0</v>
      </c>
      <c r="N19" s="323">
        <f t="shared" si="3"/>
        <v>0</v>
      </c>
      <c r="O19" s="323">
        <f t="shared" si="3"/>
        <v>0</v>
      </c>
      <c r="P19" s="323">
        <f t="shared" si="3"/>
        <v>0</v>
      </c>
      <c r="Q19" s="323">
        <f t="shared" si="3"/>
        <v>0</v>
      </c>
      <c r="R19" s="323">
        <f t="shared" si="3"/>
        <v>0</v>
      </c>
      <c r="S19" s="324">
        <f t="shared" si="3"/>
        <v>0</v>
      </c>
      <c r="T19" s="323">
        <f t="shared" si="3"/>
        <v>0</v>
      </c>
      <c r="U19" s="323">
        <f t="shared" si="3"/>
        <v>0</v>
      </c>
    </row>
    <row r="20" spans="1:21" x14ac:dyDescent="0.25">
      <c r="S20" s="321"/>
    </row>
    <row r="21" spans="1:21" ht="13.8" x14ac:dyDescent="0.3">
      <c r="A21" s="349" t="s">
        <v>170</v>
      </c>
      <c r="B21" s="308" t="s">
        <v>171</v>
      </c>
      <c r="C21" s="312" t="s">
        <v>172</v>
      </c>
      <c r="D21" s="312">
        <f>D19</f>
        <v>0</v>
      </c>
      <c r="E21" s="312">
        <f t="shared" ref="E21:U21" si="4">E19</f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2">
        <f t="shared" si="4"/>
        <v>0</v>
      </c>
      <c r="M21" s="312">
        <f t="shared" si="4"/>
        <v>0</v>
      </c>
      <c r="N21" s="312">
        <f t="shared" si="4"/>
        <v>0</v>
      </c>
      <c r="O21" s="312">
        <f t="shared" si="4"/>
        <v>0</v>
      </c>
      <c r="P21" s="312">
        <f t="shared" si="4"/>
        <v>0</v>
      </c>
      <c r="Q21" s="312">
        <f t="shared" si="4"/>
        <v>0</v>
      </c>
      <c r="R21" s="312">
        <f t="shared" si="4"/>
        <v>0</v>
      </c>
      <c r="S21" s="313">
        <f t="shared" si="4"/>
        <v>0</v>
      </c>
      <c r="T21" s="312">
        <f t="shared" si="4"/>
        <v>0</v>
      </c>
      <c r="U21" s="312">
        <f t="shared" si="4"/>
        <v>0</v>
      </c>
    </row>
    <row r="22" spans="1:21" ht="13.8" x14ac:dyDescent="0.3">
      <c r="A22" s="350"/>
      <c r="B22" s="308" t="s">
        <v>173</v>
      </c>
      <c r="C22" s="309" t="s">
        <v>174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10"/>
      <c r="T22" s="309"/>
      <c r="U22" s="309"/>
    </row>
    <row r="23" spans="1:21" ht="13.8" x14ac:dyDescent="0.3">
      <c r="A23" s="351"/>
      <c r="B23" s="311" t="s">
        <v>175</v>
      </c>
      <c r="C23" s="323" t="s">
        <v>176</v>
      </c>
      <c r="D23" s="323">
        <f>D21*D22</f>
        <v>0</v>
      </c>
      <c r="E23" s="323">
        <f t="shared" ref="E23:U23" si="5">E21*E22</f>
        <v>0</v>
      </c>
      <c r="F23" s="323">
        <f t="shared" si="5"/>
        <v>0</v>
      </c>
      <c r="G23" s="323">
        <f t="shared" si="5"/>
        <v>0</v>
      </c>
      <c r="H23" s="323">
        <f t="shared" si="5"/>
        <v>0</v>
      </c>
      <c r="I23" s="323">
        <f t="shared" si="5"/>
        <v>0</v>
      </c>
      <c r="J23" s="323">
        <f t="shared" si="5"/>
        <v>0</v>
      </c>
      <c r="K23" s="323">
        <f t="shared" si="5"/>
        <v>0</v>
      </c>
      <c r="L23" s="323">
        <f t="shared" si="5"/>
        <v>0</v>
      </c>
      <c r="M23" s="323">
        <f t="shared" si="5"/>
        <v>0</v>
      </c>
      <c r="N23" s="323">
        <f t="shared" si="5"/>
        <v>0</v>
      </c>
      <c r="O23" s="323">
        <f t="shared" si="5"/>
        <v>0</v>
      </c>
      <c r="P23" s="323">
        <f t="shared" si="5"/>
        <v>0</v>
      </c>
      <c r="Q23" s="323">
        <f t="shared" si="5"/>
        <v>0</v>
      </c>
      <c r="R23" s="323">
        <f t="shared" si="5"/>
        <v>0</v>
      </c>
      <c r="S23" s="324">
        <f t="shared" si="5"/>
        <v>0</v>
      </c>
      <c r="T23" s="323">
        <f t="shared" si="5"/>
        <v>0</v>
      </c>
      <c r="U23" s="323">
        <f t="shared" si="5"/>
        <v>0</v>
      </c>
    </row>
    <row r="24" spans="1:21" ht="13.8" x14ac:dyDescent="0.3">
      <c r="A24" s="308"/>
      <c r="B24" s="308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7"/>
      <c r="T24" s="326"/>
      <c r="U24" s="326"/>
    </row>
    <row r="25" spans="1:21" s="325" customFormat="1" ht="14.4" x14ac:dyDescent="0.3">
      <c r="A25" s="328" t="s">
        <v>177</v>
      </c>
      <c r="B25" s="311" t="s">
        <v>178</v>
      </c>
      <c r="C25" s="329" t="s">
        <v>179</v>
      </c>
      <c r="D25" s="329">
        <f>+D19+D23</f>
        <v>0</v>
      </c>
      <c r="E25" s="329">
        <f t="shared" ref="E25:U25" si="6">+E19+E23</f>
        <v>0</v>
      </c>
      <c r="F25" s="329">
        <f t="shared" si="6"/>
        <v>0</v>
      </c>
      <c r="G25" s="329">
        <f t="shared" si="6"/>
        <v>0</v>
      </c>
      <c r="H25" s="329">
        <f t="shared" si="6"/>
        <v>0</v>
      </c>
      <c r="I25" s="329">
        <f t="shared" si="6"/>
        <v>0</v>
      </c>
      <c r="J25" s="329">
        <f t="shared" si="6"/>
        <v>0</v>
      </c>
      <c r="K25" s="329">
        <f t="shared" si="6"/>
        <v>0</v>
      </c>
      <c r="L25" s="329">
        <f t="shared" si="6"/>
        <v>0</v>
      </c>
      <c r="M25" s="329">
        <f t="shared" si="6"/>
        <v>0</v>
      </c>
      <c r="N25" s="329">
        <f t="shared" si="6"/>
        <v>0</v>
      </c>
      <c r="O25" s="329">
        <f t="shared" si="6"/>
        <v>0</v>
      </c>
      <c r="P25" s="329">
        <f t="shared" si="6"/>
        <v>0</v>
      </c>
      <c r="Q25" s="329">
        <f t="shared" si="6"/>
        <v>0</v>
      </c>
      <c r="R25" s="329">
        <f t="shared" si="6"/>
        <v>0</v>
      </c>
      <c r="S25" s="330">
        <f t="shared" si="6"/>
        <v>0</v>
      </c>
      <c r="T25" s="329">
        <f t="shared" si="6"/>
        <v>0</v>
      </c>
      <c r="U25" s="329">
        <f t="shared" si="6"/>
        <v>0</v>
      </c>
    </row>
    <row r="26" spans="1:21" x14ac:dyDescent="0.25">
      <c r="S26" s="321"/>
    </row>
    <row r="27" spans="1:21" ht="13.8" x14ac:dyDescent="0.3">
      <c r="A27" s="347" t="s">
        <v>180</v>
      </c>
      <c r="B27" s="308" t="s">
        <v>181</v>
      </c>
      <c r="C27" s="309" t="s">
        <v>163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10"/>
      <c r="T27" s="309"/>
      <c r="U27" s="309"/>
    </row>
    <row r="28" spans="1:21" ht="27.6" x14ac:dyDescent="0.25">
      <c r="A28" s="348"/>
      <c r="B28" s="315" t="s">
        <v>182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9"/>
      <c r="T28" s="318"/>
      <c r="U28" s="318"/>
    </row>
    <row r="30" spans="1:21" s="333" customFormat="1" ht="27.6" x14ac:dyDescent="0.3">
      <c r="A30" s="331" t="s">
        <v>183</v>
      </c>
      <c r="B30" s="331" t="s">
        <v>184</v>
      </c>
      <c r="C30" s="332" t="s">
        <v>185</v>
      </c>
      <c r="D30" s="332">
        <f>+D19+D23+D27</f>
        <v>0</v>
      </c>
      <c r="E30" s="332">
        <f t="shared" ref="E30:U30" si="7">+E19+E23</f>
        <v>0</v>
      </c>
      <c r="F30" s="332">
        <f t="shared" si="7"/>
        <v>0</v>
      </c>
      <c r="G30" s="332">
        <f t="shared" si="7"/>
        <v>0</v>
      </c>
      <c r="H30" s="332">
        <f t="shared" si="7"/>
        <v>0</v>
      </c>
      <c r="I30" s="332">
        <f t="shared" si="7"/>
        <v>0</v>
      </c>
      <c r="J30" s="332">
        <f t="shared" si="7"/>
        <v>0</v>
      </c>
      <c r="K30" s="332">
        <f t="shared" si="7"/>
        <v>0</v>
      </c>
      <c r="L30" s="332">
        <f t="shared" si="7"/>
        <v>0</v>
      </c>
      <c r="M30" s="332">
        <f t="shared" si="7"/>
        <v>0</v>
      </c>
      <c r="N30" s="332">
        <f t="shared" si="7"/>
        <v>0</v>
      </c>
      <c r="O30" s="332">
        <f t="shared" si="7"/>
        <v>0</v>
      </c>
      <c r="P30" s="332">
        <f t="shared" si="7"/>
        <v>0</v>
      </c>
      <c r="Q30" s="332">
        <f t="shared" si="7"/>
        <v>0</v>
      </c>
      <c r="R30" s="332">
        <f t="shared" si="7"/>
        <v>0</v>
      </c>
      <c r="S30" s="332"/>
      <c r="T30" s="332">
        <f t="shared" si="7"/>
        <v>0</v>
      </c>
      <c r="U30" s="332">
        <f t="shared" si="7"/>
        <v>0</v>
      </c>
    </row>
  </sheetData>
  <mergeCells count="6">
    <mergeCell ref="A27:A28"/>
    <mergeCell ref="A2:A4"/>
    <mergeCell ref="A5:A9"/>
    <mergeCell ref="A10:A14"/>
    <mergeCell ref="A16:A17"/>
    <mergeCell ref="A21:A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Aanmaningstarieven</vt:lpstr>
      <vt:lpstr>Berekening</vt:lpstr>
      <vt:lpstr>Inningsbijdr - detail</vt:lpstr>
      <vt:lpstr>List</vt:lpstr>
      <vt:lpstr>Andere tarieven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2021-12-23T07:10:15Z</dcterms:created>
  <dcterms:modified xsi:type="dcterms:W3CDTF">2022-02-01T16:19:01Z</dcterms:modified>
  <cp:category/>
  <cp:contentStatus/>
</cp:coreProperties>
</file>